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3"/>
    <sheet name="Supuestos" sheetId="2" state="visible" r:id="rId4"/>
    <sheet name="Flujo mensual" sheetId="3" state="visible" r:id="rId5"/>
    <sheet name="Escenario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<sst xmlns="http://schemas.openxmlformats.org/spreadsheetml/2006/main" count="229" uniqueCount="203">
  <si>
    <t xml:space="preserve">Pinos del Sur · Resumen para el financista (escenario activo)</t>
  </si>
  <si>
    <t xml:space="preserve">Todas las cifras son fórmulas sobre 'Flujo mensual'. Cambia el escenario o cualquier supuesto en 'Supuestos'.</t>
  </si>
  <si>
    <t xml:space="preserve">Indicador</t>
  </si>
  <si>
    <t xml:space="preserve">Valor</t>
  </si>
  <si>
    <t xml:space="preserve">Préstamo solicitado</t>
  </si>
  <si>
    <t xml:space="preserve">Plazo (meses) · gracia (meses)</t>
  </si>
  <si>
    <t xml:space="preserve">Capital que exige la operación sin préstamo (pico del flujo acumulado)</t>
  </si>
  <si>
    <t xml:space="preserve">Mes del pico</t>
  </si>
  <si>
    <t xml:space="preserve">Caja mínima con el préstamo (debe ser ≥ 0)</t>
  </si>
  <si>
    <t xml:space="preserve">Mes de la caja mínima</t>
  </si>
  <si>
    <t xml:space="preserve">Mes en que la operación recupera todo lo invertido</t>
  </si>
  <si>
    <t xml:space="preserve">Cobertura trimestral móvil mínima durante la amortización</t>
  </si>
  <si>
    <t xml:space="preserve">Cobertura mensual mínima (meses con pago de tramo incluidos)</t>
  </si>
  <si>
    <t xml:space="preserve">Intereses totales pagados</t>
  </si>
  <si>
    <t xml:space="preserve">EBITDA acumulado durante el plazo del préstamo</t>
  </si>
  <si>
    <t xml:space="preserve">EBITDA del plazo ÷ préstamo (veces)</t>
  </si>
  <si>
    <t xml:space="preserve">Valor de la garantía ofrecida</t>
  </si>
  <si>
    <t xml:space="preserve">Garantía ÷ préstamo (veces)</t>
  </si>
  <si>
    <t xml:space="preserve">Préstamo ÷ garantía (LTV)</t>
  </si>
  <si>
    <t xml:space="preserve">Ventas 24 meses</t>
  </si>
  <si>
    <t xml:space="preserve">EBITDA 24 meses</t>
  </si>
  <si>
    <t xml:space="preserve">Caja al mes 24 (después de pagar el préstamo)</t>
  </si>
  <si>
    <t xml:space="preserve">ECONOMÍA POR METRO CÚBICO ASERRADO</t>
  </si>
  <si>
    <t xml:space="preserve">Concepto</t>
  </si>
  <si>
    <t xml:space="preserve">Nacional</t>
  </si>
  <si>
    <t xml:space="preserve">Exportación</t>
  </si>
  <si>
    <t xml:space="preserve">Precio de venta</t>
  </si>
  <si>
    <t xml:space="preserve">(−) Madera en pie</t>
  </si>
  <si>
    <t xml:space="preserve">(−) Operación forestal + transporte</t>
  </si>
  <si>
    <t xml:space="preserve">(−) Aserrío</t>
  </si>
  <si>
    <t xml:space="preserve">(−) Secado + canal de exportación</t>
  </si>
  <si>
    <t xml:space="preserve">Margen por m³</t>
  </si>
  <si>
    <t xml:space="preserve">Pinos del Sur · Modelo económico · Supuestos</t>
  </si>
  <si>
    <t xml:space="preserve">Leyenda: celdas en AZUL sobre fondo AMARILLO son las que se editan. Todo lo demás son fórmulas. Montos en US$.</t>
  </si>
  <si>
    <t xml:space="preserve">Unidad</t>
  </si>
  <si>
    <t xml:space="preserve">Fuente / nota</t>
  </si>
  <si>
    <t xml:space="preserve">PRODUCCIÓN</t>
  </si>
  <si>
    <t xml:space="preserve">Rendimiento rola → madera aserrada</t>
  </si>
  <si>
    <t xml:space="preserve">%</t>
  </si>
  <si>
    <t xml:space="preserve">Supuesto (confirmar con Jorge · típico pino caribe 45-55%)</t>
  </si>
  <si>
    <t xml:space="preserve">Capacidad de aserrado</t>
  </si>
  <si>
    <t xml:space="preserve">m³ aserrado/mes</t>
  </si>
  <si>
    <t xml:space="preserve">Supuesto = pedidos en mano (800 Trinidad + 800 nacional) · confirmar capacidad real</t>
  </si>
  <si>
    <t xml:space="preserve">Producción del mes 1 (arranque)</t>
  </si>
  <si>
    <t xml:space="preserve">% de capacidad</t>
  </si>
  <si>
    <t xml:space="preserve">Supuesto (arranque de corte y transporte)</t>
  </si>
  <si>
    <t xml:space="preserve">Proporción exportación</t>
  </si>
  <si>
    <t xml:space="preserve">% del aserrado</t>
  </si>
  <si>
    <t xml:space="preserve">Jorge · 800 m³ Trinidad de 1.600</t>
  </si>
  <si>
    <t xml:space="preserve">Tamaño del tramo de madera en pie</t>
  </si>
  <si>
    <t xml:space="preserve">m³ rola</t>
  </si>
  <si>
    <t xml:space="preserve">Jorge · 'me permiten pagar de 7.000 en 7.000'</t>
  </si>
  <si>
    <t xml:space="preserve">Asignación de madera en pie</t>
  </si>
  <si>
    <t xml:space="preserve">Jorge · asignación en el Orinoco</t>
  </si>
  <si>
    <t xml:space="preserve">Pino propio en pie (Hacienda Arichuna)</t>
  </si>
  <si>
    <t xml:space="preserve">Inventario forestal · 361,30 ha · 87,55 m³/ha</t>
  </si>
  <si>
    <t xml:space="preserve">COSTOS</t>
  </si>
  <si>
    <t xml:space="preserve">Precio madera en pie (asignación)</t>
  </si>
  <si>
    <t xml:space="preserve">$/m³ rola</t>
  </si>
  <si>
    <t xml:space="preserve">Jorge · $1.050.000 / 50.000 m³</t>
  </si>
  <si>
    <t xml:space="preserve">Operación forestal + transporte por tramo</t>
  </si>
  <si>
    <t xml:space="preserve">$/tramo</t>
  </si>
  <si>
    <t xml:space="preserve">Jorge · nómina, gasoil, mantenimiento, transporte bosque→aserradero</t>
  </si>
  <si>
    <t xml:space="preserve">Costo total madera nacional (10 y 15, verde)</t>
  </si>
  <si>
    <t xml:space="preserve">$/m³ aserrado</t>
  </si>
  <si>
    <t xml:space="preserve">Jorge · audio 1 y 2</t>
  </si>
  <si>
    <t xml:space="preserve">Costo adicional exportación (secado + canal)</t>
  </si>
  <si>
    <t xml:space="preserve">Jorge · 'más 80 dólares que se va en canal de exportación'</t>
  </si>
  <si>
    <t xml:space="preserve">Administración y gerencia (fijo)</t>
  </si>
  <si>
    <t xml:space="preserve">$/mes</t>
  </si>
  <si>
    <t xml:space="preserve">Supuesto (Jorge incluye nómina operativa en el tramo; esto es gerencia, contabilidad, permisos)</t>
  </si>
  <si>
    <t xml:space="preserve">PRECIOS DE VENTA</t>
  </si>
  <si>
    <t xml:space="preserve">Precio nacional · madera 10 y 15 verde (paletero/mueblería)</t>
  </si>
  <si>
    <t xml:space="preserve">Jorge</t>
  </si>
  <si>
    <t xml:space="preserve">Precio exportación · basas secas puesto en Trinidad</t>
  </si>
  <si>
    <t xml:space="preserve">COBRO</t>
  </si>
  <si>
    <t xml:space="preserve">Cobro nacional en el mes del despacho</t>
  </si>
  <si>
    <t xml:space="preserve">% (resto a 30 días)</t>
  </si>
  <si>
    <t xml:space="preserve">CONDICIÓN DE VENTA: nacional DE CONTADO al despacho · Jorge la compromete</t>
  </si>
  <si>
    <t xml:space="preserve">DEUDA</t>
  </si>
  <si>
    <t xml:space="preserve">Monto del préstamo</t>
  </si>
  <si>
    <t xml:space="preserve">$</t>
  </si>
  <si>
    <t xml:space="preserve">Solicitud · primer tramo (madera + operación), cuotas de los primeros meses y colchón para el segundo tramo</t>
  </si>
  <si>
    <t xml:space="preserve">Tasa de interés anual</t>
  </si>
  <si>
    <t xml:space="preserve">% anual</t>
  </si>
  <si>
    <t xml:space="preserve">Condición del préstamo: 5% mensual sobre saldo</t>
  </si>
  <si>
    <t xml:space="preserve">Plazo total</t>
  </si>
  <si>
    <t xml:space="preserve">meses</t>
  </si>
  <si>
    <t xml:space="preserve">Supuesto · ajustar a la oferta real</t>
  </si>
  <si>
    <t xml:space="preserve">Meses de gracia (solo interés)</t>
  </si>
  <si>
    <t xml:space="preserve">Sin gracia: capital e interés desde el mes 1</t>
  </si>
  <si>
    <t xml:space="preserve">GARANTÍA</t>
  </si>
  <si>
    <t xml:space="preserve">Valor de la garantía (aserradero + maquinaria + 300 ha de pino sembrado)</t>
  </si>
  <si>
    <t xml:space="preserve">Valor declarado por la empresa · avalúo formal pendiente</t>
  </si>
  <si>
    <t xml:space="preserve">DERIVADOS (fórmulas)</t>
  </si>
  <si>
    <t xml:space="preserve">Operación forestal + transporte por m³ rola</t>
  </si>
  <si>
    <t xml:space="preserve">Costo de aserrío por m³ aserrado (residual para llegar a $160)</t>
  </si>
  <si>
    <t xml:space="preserve">Costo total exportación por m³ aserrado</t>
  </si>
  <si>
    <t xml:space="preserve">Margen por m³ nacional</t>
  </si>
  <si>
    <t xml:space="preserve">Margen por m³ exportación</t>
  </si>
  <si>
    <t xml:space="preserve">Rola necesaria por mes a plena capacidad</t>
  </si>
  <si>
    <t xml:space="preserve">m³ rola/mes</t>
  </si>
  <si>
    <t xml:space="preserve">Meses que dura la asignación de 50.000 m³</t>
  </si>
  <si>
    <t xml:space="preserve">ESCENARIOS</t>
  </si>
  <si>
    <t xml:space="preserve">Escenario activo (1 = Conservador · 2 = Medio · 3 = Optimista)</t>
  </si>
  <si>
    <t xml:space="preserve">Palanca</t>
  </si>
  <si>
    <t xml:space="preserve">Conservador</t>
  </si>
  <si>
    <t xml:space="preserve">Medio</t>
  </si>
  <si>
    <t xml:space="preserve">Optimista</t>
  </si>
  <si>
    <t xml:space="preserve">Activo</t>
  </si>
  <si>
    <t xml:space="preserve">Factor de volumen sobre capacidad</t>
  </si>
  <si>
    <t xml:space="preserve">Factor de precio</t>
  </si>
  <si>
    <t xml:space="preserve">Meses desde aserrado hasta cobro exportación (secado + cobro Trinidad)</t>
  </si>
  <si>
    <t xml:space="preserve">Flujo de caja mensual · escenario activo (cambiar en Supuestos)</t>
  </si>
  <si>
    <t xml:space="preserve">Columnas = meses desde el desembolso. Todas las celdas son fórmulas.</t>
  </si>
  <si>
    <t xml:space="preserve">Mes 1</t>
  </si>
  <si>
    <t xml:space="preserve">Mes 2</t>
  </si>
  <si>
    <t xml:space="preserve">Mes 3</t>
  </si>
  <si>
    <t xml:space="preserve">Mes 4</t>
  </si>
  <si>
    <t xml:space="preserve">Mes 5</t>
  </si>
  <si>
    <t xml:space="preserve">Mes 6</t>
  </si>
  <si>
    <t xml:space="preserve">Mes 7</t>
  </si>
  <si>
    <t xml:space="preserve">Mes 8</t>
  </si>
  <si>
    <t xml:space="preserve">Mes 9</t>
  </si>
  <si>
    <t xml:space="preserve">Mes 10</t>
  </si>
  <si>
    <t xml:space="preserve">Mes 11</t>
  </si>
  <si>
    <t xml:space="preserve">Mes 12</t>
  </si>
  <si>
    <t xml:space="preserve">Mes 13</t>
  </si>
  <si>
    <t xml:space="preserve">Mes 14</t>
  </si>
  <si>
    <t xml:space="preserve">Mes 15</t>
  </si>
  <si>
    <t xml:space="preserve">Mes 16</t>
  </si>
  <si>
    <t xml:space="preserve">Mes 17</t>
  </si>
  <si>
    <t xml:space="preserve">Mes 18</t>
  </si>
  <si>
    <t xml:space="preserve">Mes 19</t>
  </si>
  <si>
    <t xml:space="preserve">Mes 20</t>
  </si>
  <si>
    <t xml:space="preserve">Mes 21</t>
  </si>
  <si>
    <t xml:space="preserve">Mes 22</t>
  </si>
  <si>
    <t xml:space="preserve">Mes 23</t>
  </si>
  <si>
    <t xml:space="preserve">Mes 24</t>
  </si>
  <si>
    <t xml:space="preserve">Total 24 m</t>
  </si>
  <si>
    <t xml:space="preserve">Madera aserrada (m³)</t>
  </si>
  <si>
    <t xml:space="preserve">Rola consumida (m³)</t>
  </si>
  <si>
    <t xml:space="preserve">Rola acumulada (m³)</t>
  </si>
  <si>
    <t xml:space="preserve">m³ a mercado nacional</t>
  </si>
  <si>
    <t xml:space="preserve">m³ a exportación</t>
  </si>
  <si>
    <t xml:space="preserve">VENTAS (devengadas en el mes de aserrado)</t>
  </si>
  <si>
    <t xml:space="preserve">Venta nacional ($)</t>
  </si>
  <si>
    <t xml:space="preserve">Venta exportación ($)</t>
  </si>
  <si>
    <t xml:space="preserve">Ingresos totales ($)</t>
  </si>
  <si>
    <t xml:space="preserve">COBROS (caja que entra)</t>
  </si>
  <si>
    <t xml:space="preserve">Cobro nacional</t>
  </si>
  <si>
    <t xml:space="preserve">Cobro exportación (con retraso de secado + cobro)</t>
  </si>
  <si>
    <t xml:space="preserve">Total cobros</t>
  </si>
  <si>
    <t xml:space="preserve">PAGOS (caja que sale)</t>
  </si>
  <si>
    <t xml:space="preserve">Madera en pie pagada acumulada (por tramos completos, tope asignación)</t>
  </si>
  <si>
    <t xml:space="preserve">Pago de tramo de madera en pie</t>
  </si>
  <si>
    <t xml:space="preserve">Operación forestal + transporte</t>
  </si>
  <si>
    <t xml:space="preserve">Aserrío (energía, personal de planta, mantenimiento)</t>
  </si>
  <si>
    <t xml:space="preserve">Secado + canal de exportación</t>
  </si>
  <si>
    <t xml:space="preserve">Administración y gerencia</t>
  </si>
  <si>
    <t xml:space="preserve">Total pagos</t>
  </si>
  <si>
    <t xml:space="preserve">FLUJO DE LA OPERACIÓN</t>
  </si>
  <si>
    <t xml:space="preserve">Flujo operativo (cobros − pagos)</t>
  </si>
  <si>
    <t xml:space="preserve">Flujo operativo acumulado (sin deuda)</t>
  </si>
  <si>
    <t xml:space="preserve">RESULTADO DEVENGADO</t>
  </si>
  <si>
    <t xml:space="preserve">Madera en pie devengada (solo mientras dura la asignación)</t>
  </si>
  <si>
    <t xml:space="preserve">Costos devengados</t>
  </si>
  <si>
    <t xml:space="preserve">EBITDA (antes de intereses e impuestos)</t>
  </si>
  <si>
    <t xml:space="preserve">EBITDA acumulado</t>
  </si>
  <si>
    <t xml:space="preserve">Desembolso del préstamo</t>
  </si>
  <si>
    <t xml:space="preserve">Saldo inicial</t>
  </si>
  <si>
    <t xml:space="preserve">Interés del mes</t>
  </si>
  <si>
    <t xml:space="preserve">Amortización de capital</t>
  </si>
  <si>
    <t xml:space="preserve">Servicio de deuda (interés + capital)</t>
  </si>
  <si>
    <t xml:space="preserve">Saldo final</t>
  </si>
  <si>
    <t xml:space="preserve">Cobertura mensual (flujo operativo ÷ servicio)</t>
  </si>
  <si>
    <t xml:space="preserve">Cobertura trimestral móvil (3 meses de flujo ÷ 3 meses de servicio, desde el mes 4)</t>
  </si>
  <si>
    <t xml:space="preserve">Mes de recuperación (auxiliar)</t>
  </si>
  <si>
    <t xml:space="preserve">CAJA</t>
  </si>
  <si>
    <t xml:space="preserve">Flujo neto del mes (operación + préstamo − servicio)</t>
  </si>
  <si>
    <t xml:space="preserve">Caja acumulada</t>
  </si>
  <si>
    <t xml:space="preserve">Comparación de escenarios (valores calculados con este mismo modelo)</t>
  </si>
  <si>
    <t xml:space="preserve">Snapshot: para ver cada escenario en vivo cambia 'Escenario activo' en Supuestos. Definiciones abajo.</t>
  </si>
  <si>
    <t xml:space="preserve">Escenario</t>
  </si>
  <si>
    <t xml:space="preserve">Capital pico sin préstamo</t>
  </si>
  <si>
    <t xml:space="preserve">Caja mínima con préstamo</t>
  </si>
  <si>
    <t xml:space="preserve">Recupera inversión</t>
  </si>
  <si>
    <t xml:space="preserve">Cobertura mínima deuda</t>
  </si>
  <si>
    <t xml:space="preserve">Ventas 24 m</t>
  </si>
  <si>
    <t xml:space="preserve">EBITDA 24 m</t>
  </si>
  <si>
    <t xml:space="preserve">Caja mes 24</t>
  </si>
  <si>
    <t xml:space="preserve">Conservador: 70% del volumen, precios 10% abajo, Trinidad cobrado a 2 meses del aserrado</t>
  </si>
  <si>
    <t xml:space="preserve">Medio: pedidos en mano (1.600 m³/mes), precios de Jorge, nacional de contado, Trinidad pagado contra documentos de embarque (1 mes: el secado)</t>
  </si>
  <si>
    <t xml:space="preserve">Optimista: 15% más volumen, precios 5% arriba, Trinidad a 1 mes</t>
  </si>
  <si>
    <t xml:space="preserve">Sensibilidad · capital pico sin préstamo según meses hasta cobrar Trinidad (secado + cobro)</t>
  </si>
  <si>
    <t xml:space="preserve">Meses hasta cobrar Trinidad</t>
  </si>
  <si>
    <t xml:space="preserve">Sensibilidad · condiciones de cobro (escenario medio, con el préstamo pedido)</t>
  </si>
  <si>
    <t xml:space="preserve">Cómo se cobra</t>
  </si>
  <si>
    <t xml:space="preserve">Nacional de contado · Trinidad contra documentos de embarque (1 mes, el secado)</t>
  </si>
  <si>
    <t xml:space="preserve">Nacional de contado · Trinidad a 2 meses</t>
  </si>
  <si>
    <t xml:space="preserve">Nacional mitad al despacho y mitad a 30 días · Trinidad a 1 mes</t>
  </si>
  <si>
    <t xml:space="preserve">Nacional mitad y mitad · Trinidad a 2 meses</t>
  </si>
  <si>
    <t xml:space="preserve">Nacional de contado · Trinidad con anticipo al aserrar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</si>
</sst>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;&quot;($&quot;#,##0\);\-"/>
    <numFmt numFmtId="166" formatCode="0"/>
    <numFmt numFmtId="167" formatCode="0.00\x"/>
    <numFmt numFmtId="168" formatCode="0.0%"/>
    <numFmt numFmtId="169" formatCode="\$#,##0.00;&quot;($&quot;#,##0.00\);\-"/>
    <numFmt numFmtId="170" formatCode="\$#,##0.00"/>
    <numFmt numFmtId="171" formatCode="#,##0;\(#,##0\);\-"/>
    <numFmt numFmtId="172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E4D2B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1"/>
      <color rgb="FF1E4D2B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55555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E4D2B"/>
        <bgColor rgb="FF333300"/>
      </patternFill>
    </fill>
    <fill>
      <patternFill patternType="solid">
        <fgColor rgb="FFEDF4EA"/>
        <bgColor rgb="FFF5F4EC"/>
      </patternFill>
    </fill>
    <fill>
      <patternFill patternType="solid">
        <fgColor rgb="FFFFFF00"/>
        <bgColor rgb="FFFFFF00"/>
      </patternFill>
    </fill>
    <fill>
      <patternFill patternType="solid">
        <fgColor rgb="FFF5F4EC"/>
        <bgColor rgb="FFEDF4EA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4EC"/>
      <rgbColor rgb="FFEDF4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E4D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20"/>
    <col collapsed="false" customWidth="true" hidden="false" outlineLevel="0" max="3" min="3" style="0" width="1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</row>
    <row r="5" customFormat="false" ht="15" hidden="false" customHeight="false" outlineLevel="0" collapsed="false">
      <c r="A5" s="4" t="s">
        <v>4</v>
      </c>
      <c r="B5" s="5" t="n">
        <f aca="false">Supuestos!$B$25</f>
        <v>450000</v>
      </c>
    </row>
    <row r="6" customFormat="false" ht="15" hidden="false" customHeight="false" outlineLevel="0" collapsed="false">
      <c r="A6" s="4" t="s">
        <v>5</v>
      </c>
      <c r="B6" s="6" t="str">
        <f aca="false">Supuestos!$B$27&amp;" · "&amp;Supuestos!$B$28</f>
        <v>12 · 0</v>
      </c>
    </row>
    <row r="7" customFormat="false" ht="15" hidden="false" customHeight="false" outlineLevel="0" collapsed="false">
      <c r="A7" s="4" t="s">
        <v>6</v>
      </c>
      <c r="B7" s="5" t="n">
        <f aca="false">-MIN('Flujo mensual'!$B$29:$Y$29)</f>
        <v>181880</v>
      </c>
    </row>
    <row r="8" customFormat="false" ht="15" hidden="false" customHeight="false" outlineLevel="0" collapsed="false">
      <c r="A8" s="4" t="s">
        <v>7</v>
      </c>
      <c r="B8" s="7" t="n">
        <f aca="false">MATCH(MIN('Flujo mensual'!$B$29:$Y$29),'Flujo mensual'!$B$29:$Y$29,0)</f>
        <v>1</v>
      </c>
    </row>
    <row r="9" customFormat="false" ht="15" hidden="false" customHeight="false" outlineLevel="0" collapsed="false">
      <c r="A9" s="4" t="s">
        <v>8</v>
      </c>
      <c r="B9" s="5" t="n">
        <f aca="false">MIN('Flujo mensual'!$B$47:$Y$47)</f>
        <v>208120</v>
      </c>
    </row>
    <row r="10" customFormat="false" ht="15" hidden="false" customHeight="false" outlineLevel="0" collapsed="false">
      <c r="A10" s="4" t="s">
        <v>9</v>
      </c>
      <c r="B10" s="7" t="n">
        <f aca="false">MATCH(MIN('Flujo mensual'!$B$47:$Y$47),'Flujo mensual'!$B$47:$Y$47,0)</f>
        <v>1</v>
      </c>
    </row>
    <row r="11" customFormat="false" ht="15" hidden="false" customHeight="false" outlineLevel="0" collapsed="false">
      <c r="A11" s="4" t="s">
        <v>10</v>
      </c>
      <c r="B11" s="7" t="n">
        <f aca="false">IF(MIN('Flujo mensual'!$B$44:$Y$44)=999,"&gt; 24",MIN('Flujo mensual'!$B$44:$Y$44))</f>
        <v>4</v>
      </c>
    </row>
    <row r="12" customFormat="false" ht="15" hidden="false" customHeight="false" outlineLevel="0" collapsed="false">
      <c r="A12" s="4" t="s">
        <v>11</v>
      </c>
      <c r="B12" s="8" t="n">
        <f aca="false">MIN('Flujo mensual'!$B$43:$Y$43)</f>
        <v>2.08183908045977</v>
      </c>
    </row>
    <row r="13" customFormat="false" ht="15" hidden="false" customHeight="false" outlineLevel="0" collapsed="false">
      <c r="A13" s="4" t="s">
        <v>12</v>
      </c>
      <c r="B13" s="8" t="n">
        <f aca="false">MIN('Flujo mensual'!$B$42:$Y$42)</f>
        <v>-3.03133333333333</v>
      </c>
    </row>
    <row r="14" customFormat="false" ht="15" hidden="false" customHeight="false" outlineLevel="0" collapsed="false">
      <c r="A14" s="4" t="s">
        <v>13</v>
      </c>
      <c r="B14" s="5" t="n">
        <f aca="false">SUM('Flujo mensual'!$B$38:$Y$38)</f>
        <v>146250</v>
      </c>
    </row>
    <row r="15" customFormat="false" ht="15" hidden="false" customHeight="false" outlineLevel="0" collapsed="false">
      <c r="A15" s="4" t="s">
        <v>14</v>
      </c>
      <c r="B15" s="5" t="n">
        <f aca="false">SUM('Flujo mensual'!$B$33:INDEX('Flujo mensual'!$B$33:$Y$33,1,Supuestos!$B$27))</f>
        <v>1667200</v>
      </c>
    </row>
    <row r="16" customFormat="false" ht="15" hidden="false" customHeight="false" outlineLevel="0" collapsed="false">
      <c r="A16" s="4" t="s">
        <v>15</v>
      </c>
      <c r="B16" s="8" t="n">
        <f aca="false">B15/Supuestos!$B$25</f>
        <v>3.70488888888889</v>
      </c>
    </row>
    <row r="17" customFormat="false" ht="15" hidden="false" customHeight="false" outlineLevel="0" collapsed="false">
      <c r="A17" s="4" t="s">
        <v>16</v>
      </c>
      <c r="B17" s="5" t="n">
        <f aca="false">Supuestos!$B$30</f>
        <v>2200000</v>
      </c>
    </row>
    <row r="18" customFormat="false" ht="15" hidden="false" customHeight="false" outlineLevel="0" collapsed="false">
      <c r="A18" s="4" t="s">
        <v>17</v>
      </c>
      <c r="B18" s="8" t="n">
        <f aca="false">Supuestos!$B$30/Supuestos!$B$25</f>
        <v>4.88888888888889</v>
      </c>
    </row>
    <row r="19" customFormat="false" ht="15" hidden="false" customHeight="false" outlineLevel="0" collapsed="false">
      <c r="A19" s="4" t="s">
        <v>18</v>
      </c>
      <c r="B19" s="9" t="n">
        <f aca="false">Supuestos!$B$25/Supuestos!$B$30</f>
        <v>0.204545454545455</v>
      </c>
    </row>
    <row r="20" customFormat="false" ht="15" hidden="false" customHeight="false" outlineLevel="0" collapsed="false">
      <c r="A20" s="4" t="s">
        <v>19</v>
      </c>
      <c r="B20" s="5" t="n">
        <f aca="false">SUM('Flujo mensual'!$B$14:$Y$14)</f>
        <v>11139200</v>
      </c>
    </row>
    <row r="21" customFormat="false" ht="15" hidden="false" customHeight="false" outlineLevel="0" collapsed="false">
      <c r="A21" s="4" t="s">
        <v>20</v>
      </c>
      <c r="B21" s="5" t="n">
        <f aca="false">SUM('Flujo mensual'!$B$33:$Y$33)</f>
        <v>3931120</v>
      </c>
    </row>
    <row r="22" customFormat="false" ht="15" hidden="false" customHeight="false" outlineLevel="0" collapsed="false">
      <c r="A22" s="4" t="s">
        <v>21</v>
      </c>
      <c r="B22" s="5" t="n">
        <f aca="false">INDEX('Flujo mensual'!$B$47:$Y$47,1,24)</f>
        <v>3520870</v>
      </c>
    </row>
    <row r="25" customFormat="false" ht="15" hidden="false" customHeight="false" outlineLevel="0" collapsed="false">
      <c r="A25" s="10" t="s">
        <v>22</v>
      </c>
    </row>
    <row r="26" customFormat="false" ht="15" hidden="false" customHeight="false" outlineLevel="0" collapsed="false">
      <c r="A26" s="3" t="s">
        <v>23</v>
      </c>
      <c r="B26" s="3" t="s">
        <v>24</v>
      </c>
      <c r="C26" s="3" t="s">
        <v>25</v>
      </c>
    </row>
    <row r="27" customFormat="false" ht="15" hidden="false" customHeight="false" outlineLevel="0" collapsed="false">
      <c r="A27" s="0" t="s">
        <v>26</v>
      </c>
      <c r="B27" s="11" t="n">
        <f aca="false">Supuestos!$B$20</f>
        <v>260</v>
      </c>
      <c r="C27" s="11" t="n">
        <f aca="false">Supuestos!$B$21</f>
        <v>330</v>
      </c>
    </row>
    <row r="28" customFormat="false" ht="15" hidden="false" customHeight="false" outlineLevel="0" collapsed="false">
      <c r="A28" s="0" t="s">
        <v>27</v>
      </c>
      <c r="B28" s="11" t="n">
        <f aca="false">-Supuestos!$B$14/Supuestos!$B$6</f>
        <v>-42</v>
      </c>
      <c r="C28" s="11" t="n">
        <f aca="false">-Supuestos!$B$14/Supuestos!$B$6</f>
        <v>-42</v>
      </c>
    </row>
    <row r="29" customFormat="false" ht="15" hidden="false" customHeight="false" outlineLevel="0" collapsed="false">
      <c r="A29" s="0" t="s">
        <v>28</v>
      </c>
      <c r="B29" s="11" t="n">
        <f aca="false">-Supuestos!$B$33/Supuestos!$B$6</f>
        <v>-42.8571428571429</v>
      </c>
      <c r="C29" s="11" t="n">
        <f aca="false">-Supuestos!$B$33/Supuestos!$B$6</f>
        <v>-42.8571428571429</v>
      </c>
    </row>
    <row r="30" customFormat="false" ht="15" hidden="false" customHeight="false" outlineLevel="0" collapsed="false">
      <c r="A30" s="0" t="s">
        <v>29</v>
      </c>
      <c r="B30" s="11" t="n">
        <f aca="false">-Supuestos!$B$34</f>
        <v>-75.1428571428571</v>
      </c>
      <c r="C30" s="11" t="n">
        <f aca="false">-Supuestos!$B$34</f>
        <v>-75.1428571428571</v>
      </c>
    </row>
    <row r="31" customFormat="false" ht="15" hidden="false" customHeight="false" outlineLevel="0" collapsed="false">
      <c r="A31" s="0" t="s">
        <v>30</v>
      </c>
      <c r="B31" s="11" t="n">
        <f aca="false">0</f>
        <v>0</v>
      </c>
      <c r="C31" s="11" t="n">
        <f aca="false">-Supuestos!$B$17</f>
        <v>-80</v>
      </c>
    </row>
    <row r="32" customFormat="false" ht="15" hidden="false" customHeight="false" outlineLevel="0" collapsed="false">
      <c r="A32" s="12" t="s">
        <v>31</v>
      </c>
      <c r="B32" s="13" t="n">
        <f aca="false">SUM(B27:B31)</f>
        <v>100</v>
      </c>
      <c r="C32" s="13" t="n">
        <f aca="false">SUM(C27:C31)</f>
        <v>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2"/>
    <col collapsed="false" customWidth="true" hidden="false" outlineLevel="0" max="4" min="2" style="0" width="16"/>
    <col collapsed="false" customWidth="true" hidden="false" outlineLevel="0" max="5" min="5" style="0" width="12"/>
  </cols>
  <sheetData>
    <row r="1" customFormat="false" ht="17.35" hidden="false" customHeight="false" outlineLevel="0" collapsed="false">
      <c r="A1" s="1" t="s">
        <v>32</v>
      </c>
    </row>
    <row r="2" customFormat="false" ht="15" hidden="false" customHeight="false" outlineLevel="0" collapsed="false">
      <c r="A2" s="2" t="s">
        <v>33</v>
      </c>
    </row>
    <row r="4" customFormat="false" ht="15" hidden="false" customHeight="false" outlineLevel="0" collapsed="false">
      <c r="A4" s="3" t="s">
        <v>23</v>
      </c>
      <c r="B4" s="3" t="s">
        <v>3</v>
      </c>
      <c r="C4" s="3" t="s">
        <v>34</v>
      </c>
      <c r="D4" s="3" t="s">
        <v>35</v>
      </c>
    </row>
    <row r="5" customFormat="false" ht="15" hidden="false" customHeight="false" outlineLevel="0" collapsed="false">
      <c r="A5" s="10" t="s">
        <v>36</v>
      </c>
    </row>
    <row r="6" customFormat="false" ht="15" hidden="false" customHeight="false" outlineLevel="0" collapsed="false">
      <c r="A6" s="4" t="s">
        <v>37</v>
      </c>
      <c r="B6" s="14" t="n">
        <v>0.5</v>
      </c>
      <c r="C6" s="4" t="s">
        <v>38</v>
      </c>
      <c r="D6" s="15" t="s">
        <v>39</v>
      </c>
    </row>
    <row r="7" customFormat="false" ht="15" hidden="false" customHeight="false" outlineLevel="0" collapsed="false">
      <c r="A7" s="4" t="s">
        <v>40</v>
      </c>
      <c r="B7" s="16" t="n">
        <v>1600</v>
      </c>
      <c r="C7" s="4" t="s">
        <v>41</v>
      </c>
      <c r="D7" s="15" t="s">
        <v>42</v>
      </c>
    </row>
    <row r="8" customFormat="false" ht="15" hidden="false" customHeight="false" outlineLevel="0" collapsed="false">
      <c r="A8" s="4" t="s">
        <v>43</v>
      </c>
      <c r="B8" s="14" t="n">
        <v>0.6</v>
      </c>
      <c r="C8" s="4" t="s">
        <v>44</v>
      </c>
      <c r="D8" s="15" t="s">
        <v>45</v>
      </c>
    </row>
    <row r="9" customFormat="false" ht="15" hidden="false" customHeight="false" outlineLevel="0" collapsed="false">
      <c r="A9" s="4" t="s">
        <v>46</v>
      </c>
      <c r="B9" s="14" t="n">
        <v>0.5</v>
      </c>
      <c r="C9" s="4" t="s">
        <v>47</v>
      </c>
      <c r="D9" s="15" t="s">
        <v>48</v>
      </c>
    </row>
    <row r="10" customFormat="false" ht="15" hidden="false" customHeight="false" outlineLevel="0" collapsed="false">
      <c r="A10" s="4" t="s">
        <v>49</v>
      </c>
      <c r="B10" s="16" t="n">
        <v>7000</v>
      </c>
      <c r="C10" s="4" t="s">
        <v>50</v>
      </c>
      <c r="D10" s="15" t="s">
        <v>51</v>
      </c>
    </row>
    <row r="11" customFormat="false" ht="15" hidden="false" customHeight="false" outlineLevel="0" collapsed="false">
      <c r="A11" s="4" t="s">
        <v>52</v>
      </c>
      <c r="B11" s="16" t="n">
        <v>50000</v>
      </c>
      <c r="C11" s="4" t="s">
        <v>50</v>
      </c>
      <c r="D11" s="15" t="s">
        <v>53</v>
      </c>
    </row>
    <row r="12" customFormat="false" ht="15" hidden="false" customHeight="false" outlineLevel="0" collapsed="false">
      <c r="A12" s="4" t="s">
        <v>54</v>
      </c>
      <c r="B12" s="16" t="n">
        <v>31633</v>
      </c>
      <c r="C12" s="4" t="s">
        <v>50</v>
      </c>
      <c r="D12" s="15" t="s">
        <v>55</v>
      </c>
    </row>
    <row r="13" customFormat="false" ht="15" hidden="false" customHeight="false" outlineLevel="0" collapsed="false">
      <c r="A13" s="10" t="s">
        <v>56</v>
      </c>
    </row>
    <row r="14" customFormat="false" ht="15" hidden="false" customHeight="false" outlineLevel="0" collapsed="false">
      <c r="A14" s="4" t="s">
        <v>57</v>
      </c>
      <c r="B14" s="17" t="n">
        <v>21</v>
      </c>
      <c r="C14" s="4" t="s">
        <v>58</v>
      </c>
      <c r="D14" s="15" t="s">
        <v>59</v>
      </c>
    </row>
    <row r="15" customFormat="false" ht="15" hidden="false" customHeight="false" outlineLevel="0" collapsed="false">
      <c r="A15" s="4" t="s">
        <v>60</v>
      </c>
      <c r="B15" s="17" t="n">
        <v>150000</v>
      </c>
      <c r="C15" s="4" t="s">
        <v>61</v>
      </c>
      <c r="D15" s="15" t="s">
        <v>62</v>
      </c>
    </row>
    <row r="16" customFormat="false" ht="15" hidden="false" customHeight="false" outlineLevel="0" collapsed="false">
      <c r="A16" s="4" t="s">
        <v>63</v>
      </c>
      <c r="B16" s="17" t="n">
        <v>160</v>
      </c>
      <c r="C16" s="4" t="s">
        <v>64</v>
      </c>
      <c r="D16" s="15" t="s">
        <v>65</v>
      </c>
    </row>
    <row r="17" customFormat="false" ht="15" hidden="false" customHeight="false" outlineLevel="0" collapsed="false">
      <c r="A17" s="4" t="s">
        <v>66</v>
      </c>
      <c r="B17" s="17" t="n">
        <v>80</v>
      </c>
      <c r="C17" s="4" t="s">
        <v>64</v>
      </c>
      <c r="D17" s="15" t="s">
        <v>67</v>
      </c>
    </row>
    <row r="18" customFormat="false" ht="15" hidden="false" customHeight="false" outlineLevel="0" collapsed="false">
      <c r="A18" s="4" t="s">
        <v>68</v>
      </c>
      <c r="B18" s="17" t="n">
        <v>8000</v>
      </c>
      <c r="C18" s="4" t="s">
        <v>69</v>
      </c>
      <c r="D18" s="15" t="s">
        <v>70</v>
      </c>
    </row>
    <row r="19" customFormat="false" ht="15" hidden="false" customHeight="false" outlineLevel="0" collapsed="false">
      <c r="A19" s="10" t="s">
        <v>71</v>
      </c>
    </row>
    <row r="20" customFormat="false" ht="15" hidden="false" customHeight="false" outlineLevel="0" collapsed="false">
      <c r="A20" s="4" t="s">
        <v>72</v>
      </c>
      <c r="B20" s="17" t="n">
        <v>260</v>
      </c>
      <c r="C20" s="4" t="s">
        <v>64</v>
      </c>
      <c r="D20" s="15" t="s">
        <v>73</v>
      </c>
    </row>
    <row r="21" customFormat="false" ht="15" hidden="false" customHeight="false" outlineLevel="0" collapsed="false">
      <c r="A21" s="4" t="s">
        <v>74</v>
      </c>
      <c r="B21" s="17" t="n">
        <v>330</v>
      </c>
      <c r="C21" s="4" t="s">
        <v>64</v>
      </c>
      <c r="D21" s="15" t="s">
        <v>73</v>
      </c>
    </row>
    <row r="22" customFormat="false" ht="15" hidden="false" customHeight="false" outlineLevel="0" collapsed="false">
      <c r="A22" s="10" t="s">
        <v>75</v>
      </c>
    </row>
    <row r="23" customFormat="false" ht="15" hidden="false" customHeight="false" outlineLevel="0" collapsed="false">
      <c r="A23" s="4" t="s">
        <v>76</v>
      </c>
      <c r="B23" s="14" t="n">
        <v>1</v>
      </c>
      <c r="C23" s="4" t="s">
        <v>77</v>
      </c>
      <c r="D23" s="15" t="s">
        <v>78</v>
      </c>
    </row>
    <row r="24" customFormat="false" ht="15" hidden="false" customHeight="false" outlineLevel="0" collapsed="false">
      <c r="A24" s="10" t="s">
        <v>79</v>
      </c>
    </row>
    <row r="25" customFormat="false" ht="15" hidden="false" customHeight="false" outlineLevel="0" collapsed="false">
      <c r="A25" s="4" t="s">
        <v>80</v>
      </c>
      <c r="B25" s="18" t="n">
        <v>450000</v>
      </c>
      <c r="C25" s="4" t="s">
        <v>81</v>
      </c>
      <c r="D25" s="15" t="s">
        <v>82</v>
      </c>
    </row>
    <row r="26" customFormat="false" ht="15" hidden="false" customHeight="false" outlineLevel="0" collapsed="false">
      <c r="A26" s="4" t="s">
        <v>83</v>
      </c>
      <c r="B26" s="14" t="n">
        <v>0.6</v>
      </c>
      <c r="C26" s="4" t="s">
        <v>84</v>
      </c>
      <c r="D26" s="15" t="s">
        <v>85</v>
      </c>
    </row>
    <row r="27" customFormat="false" ht="15" hidden="false" customHeight="false" outlineLevel="0" collapsed="false">
      <c r="A27" s="4" t="s">
        <v>86</v>
      </c>
      <c r="B27" s="16" t="n">
        <v>12</v>
      </c>
      <c r="C27" s="4" t="s">
        <v>87</v>
      </c>
      <c r="D27" s="15" t="s">
        <v>88</v>
      </c>
    </row>
    <row r="28" customFormat="false" ht="15" hidden="false" customHeight="false" outlineLevel="0" collapsed="false">
      <c r="A28" s="4" t="s">
        <v>89</v>
      </c>
      <c r="B28" s="16" t="n">
        <v>0</v>
      </c>
      <c r="C28" s="4" t="s">
        <v>87</v>
      </c>
      <c r="D28" s="15" t="s">
        <v>90</v>
      </c>
    </row>
    <row r="29" customFormat="false" ht="15" hidden="false" customHeight="false" outlineLevel="0" collapsed="false">
      <c r="A29" s="10" t="s">
        <v>91</v>
      </c>
    </row>
    <row r="30" customFormat="false" ht="15" hidden="false" customHeight="false" outlineLevel="0" collapsed="false">
      <c r="A30" s="4" t="s">
        <v>92</v>
      </c>
      <c r="B30" s="18" t="n">
        <v>2200000</v>
      </c>
      <c r="C30" s="4" t="s">
        <v>81</v>
      </c>
      <c r="D30" s="15" t="s">
        <v>93</v>
      </c>
    </row>
    <row r="32" customFormat="false" ht="15" hidden="false" customHeight="false" outlineLevel="0" collapsed="false">
      <c r="A32" s="10" t="s">
        <v>94</v>
      </c>
    </row>
    <row r="33" customFormat="false" ht="15" hidden="false" customHeight="false" outlineLevel="0" collapsed="false">
      <c r="A33" s="0" t="s">
        <v>95</v>
      </c>
      <c r="B33" s="19" t="n">
        <f aca="false">Supuestos!$B$15/Supuestos!$B$10</f>
        <v>21.4285714285714</v>
      </c>
      <c r="C33" s="0" t="s">
        <v>58</v>
      </c>
    </row>
    <row r="34" customFormat="false" ht="15" hidden="false" customHeight="false" outlineLevel="0" collapsed="false">
      <c r="A34" s="0" t="s">
        <v>96</v>
      </c>
      <c r="B34" s="19" t="n">
        <f aca="false">Supuestos!$B$16-(Supuestos!$B$14+Supuestos!$B$33)/Supuestos!$B$6</f>
        <v>75.1428571428571</v>
      </c>
      <c r="C34" s="0" t="s">
        <v>64</v>
      </c>
    </row>
    <row r="35" customFormat="false" ht="15" hidden="false" customHeight="false" outlineLevel="0" collapsed="false">
      <c r="A35" s="0" t="s">
        <v>97</v>
      </c>
      <c r="B35" s="19" t="n">
        <f aca="false">Supuestos!$B$16+Supuestos!$B$17</f>
        <v>240</v>
      </c>
      <c r="C35" s="0" t="s">
        <v>64</v>
      </c>
    </row>
    <row r="36" customFormat="false" ht="15" hidden="false" customHeight="false" outlineLevel="0" collapsed="false">
      <c r="A36" s="0" t="s">
        <v>98</v>
      </c>
      <c r="B36" s="19" t="n">
        <f aca="false">Supuestos!$B$20-Supuestos!$B$16</f>
        <v>100</v>
      </c>
    </row>
    <row r="37" customFormat="false" ht="15" hidden="false" customHeight="false" outlineLevel="0" collapsed="false">
      <c r="A37" s="0" t="s">
        <v>99</v>
      </c>
      <c r="B37" s="19" t="n">
        <f aca="false">Supuestos!$B$21-Supuestos!$B$16-Supuestos!$B$17</f>
        <v>90</v>
      </c>
    </row>
    <row r="38" customFormat="false" ht="15" hidden="false" customHeight="false" outlineLevel="0" collapsed="false">
      <c r="A38" s="0" t="s">
        <v>100</v>
      </c>
      <c r="B38" s="20" t="n">
        <f aca="false">Supuestos!$B$7/Supuestos!$B$6</f>
        <v>3200</v>
      </c>
      <c r="C38" s="0" t="s">
        <v>101</v>
      </c>
    </row>
    <row r="39" customFormat="false" ht="15" hidden="false" customHeight="false" outlineLevel="0" collapsed="false">
      <c r="A39" s="0" t="s">
        <v>102</v>
      </c>
      <c r="B39" s="21" t="n">
        <f aca="false">Supuestos!$B$11/(Supuestos!$B$7/Supuestos!$B$6)</f>
        <v>15.625</v>
      </c>
      <c r="C39" s="0" t="s">
        <v>87</v>
      </c>
    </row>
    <row r="41" customFormat="false" ht="15" hidden="false" customHeight="false" outlineLevel="0" collapsed="false">
      <c r="A41" s="10" t="s">
        <v>103</v>
      </c>
    </row>
    <row r="42" customFormat="false" ht="15" hidden="false" customHeight="false" outlineLevel="0" collapsed="false">
      <c r="A42" s="0" t="s">
        <v>104</v>
      </c>
      <c r="B42" s="22" t="n">
        <v>2</v>
      </c>
    </row>
    <row r="43" customFormat="false" ht="15" hidden="false" customHeight="false" outlineLevel="0" collapsed="false">
      <c r="A43" s="3" t="s">
        <v>105</v>
      </c>
      <c r="B43" s="3" t="s">
        <v>106</v>
      </c>
      <c r="C43" s="3" t="s">
        <v>107</v>
      </c>
      <c r="D43" s="3" t="s">
        <v>108</v>
      </c>
      <c r="E43" s="3" t="s">
        <v>109</v>
      </c>
    </row>
    <row r="44" customFormat="false" ht="15" hidden="false" customHeight="false" outlineLevel="0" collapsed="false">
      <c r="A44" s="0" t="s">
        <v>110</v>
      </c>
      <c r="B44" s="14" t="n">
        <v>0.7</v>
      </c>
      <c r="C44" s="14" t="n">
        <v>1</v>
      </c>
      <c r="D44" s="14" t="n">
        <v>1.15</v>
      </c>
      <c r="E44" s="23" t="n">
        <f aca="false">INDEX($B$44:$D$44,1,Supuestos!$B$42)</f>
        <v>1</v>
      </c>
    </row>
    <row r="45" customFormat="false" ht="15" hidden="false" customHeight="false" outlineLevel="0" collapsed="false">
      <c r="A45" s="0" t="s">
        <v>111</v>
      </c>
      <c r="B45" s="14" t="n">
        <v>0.9</v>
      </c>
      <c r="C45" s="14" t="n">
        <v>1</v>
      </c>
      <c r="D45" s="14" t="n">
        <v>1.05</v>
      </c>
      <c r="E45" s="23" t="n">
        <f aca="false">INDEX($B$45:$D$45,1,Supuestos!$B$42)</f>
        <v>1</v>
      </c>
    </row>
    <row r="46" customFormat="false" ht="15" hidden="false" customHeight="false" outlineLevel="0" collapsed="false">
      <c r="A46" s="0" t="s">
        <v>112</v>
      </c>
      <c r="B46" s="24" t="n">
        <v>2</v>
      </c>
      <c r="C46" s="24" t="n">
        <v>1</v>
      </c>
      <c r="D46" s="24" t="n">
        <v>1</v>
      </c>
      <c r="E46" s="25" t="n">
        <f aca="false">INDEX($B$46:$D$46,1,Supuestos!$B$42)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8"/>
    <col collapsed="false" customWidth="true" hidden="false" outlineLevel="0" max="26" min="2" style="0" width="12"/>
  </cols>
  <sheetData>
    <row r="1" customFormat="false" ht="17.35" hidden="false" customHeight="false" outlineLevel="0" collapsed="false">
      <c r="A1" s="1" t="s">
        <v>113</v>
      </c>
    </row>
    <row r="2" customFormat="false" ht="15" hidden="false" customHeight="false" outlineLevel="0" collapsed="false">
      <c r="A2" s="2" t="s">
        <v>114</v>
      </c>
    </row>
    <row r="4" customFormat="false" ht="15" hidden="false" customHeight="false" outlineLevel="0" collapsed="false">
      <c r="A4" s="3" t="s">
        <v>23</v>
      </c>
      <c r="B4" s="26" t="s">
        <v>115</v>
      </c>
      <c r="C4" s="26" t="s">
        <v>116</v>
      </c>
      <c r="D4" s="26" t="s">
        <v>117</v>
      </c>
      <c r="E4" s="26" t="s">
        <v>118</v>
      </c>
      <c r="F4" s="26" t="s">
        <v>119</v>
      </c>
      <c r="G4" s="26" t="s">
        <v>120</v>
      </c>
      <c r="H4" s="26" t="s">
        <v>121</v>
      </c>
      <c r="I4" s="26" t="s">
        <v>122</v>
      </c>
      <c r="J4" s="26" t="s">
        <v>123</v>
      </c>
      <c r="K4" s="26" t="s">
        <v>124</v>
      </c>
      <c r="L4" s="26" t="s">
        <v>125</v>
      </c>
      <c r="M4" s="26" t="s">
        <v>126</v>
      </c>
      <c r="N4" s="26" t="s">
        <v>127</v>
      </c>
      <c r="O4" s="26" t="s">
        <v>128</v>
      </c>
      <c r="P4" s="26" t="s">
        <v>129</v>
      </c>
      <c r="Q4" s="26" t="s">
        <v>130</v>
      </c>
      <c r="R4" s="26" t="s">
        <v>131</v>
      </c>
      <c r="S4" s="26" t="s">
        <v>132</v>
      </c>
      <c r="T4" s="26" t="s">
        <v>133</v>
      </c>
      <c r="U4" s="26" t="s">
        <v>134</v>
      </c>
      <c r="V4" s="26" t="s">
        <v>135</v>
      </c>
      <c r="W4" s="26" t="s">
        <v>136</v>
      </c>
      <c r="X4" s="26" t="s">
        <v>137</v>
      </c>
      <c r="Y4" s="26" t="s">
        <v>138</v>
      </c>
      <c r="Z4" s="3" t="s">
        <v>139</v>
      </c>
    </row>
    <row r="5" customFormat="false" ht="15" hidden="false" customHeight="false" outlineLevel="0" collapsed="false">
      <c r="A5" s="10" t="s">
        <v>36</v>
      </c>
    </row>
    <row r="6" customFormat="false" ht="15" hidden="false" customHeight="false" outlineLevel="0" collapsed="false">
      <c r="A6" s="4" t="s">
        <v>140</v>
      </c>
      <c r="B6" s="27" t="n">
        <f aca="false">Supuestos!$B$7*Supuestos!$E$44*Supuestos!$B$8</f>
        <v>960</v>
      </c>
      <c r="C6" s="27" t="n">
        <f aca="false">Supuestos!$B$7*Supuestos!$E$44*1</f>
        <v>1600</v>
      </c>
      <c r="D6" s="27" t="n">
        <f aca="false">Supuestos!$B$7*Supuestos!$E$44*1</f>
        <v>1600</v>
      </c>
      <c r="E6" s="27" t="n">
        <f aca="false">Supuestos!$B$7*Supuestos!$E$44*1</f>
        <v>1600</v>
      </c>
      <c r="F6" s="27" t="n">
        <f aca="false">Supuestos!$B$7*Supuestos!$E$44*1</f>
        <v>1600</v>
      </c>
      <c r="G6" s="27" t="n">
        <f aca="false">Supuestos!$B$7*Supuestos!$E$44*1</f>
        <v>1600</v>
      </c>
      <c r="H6" s="27" t="n">
        <f aca="false">Supuestos!$B$7*Supuestos!$E$44*1</f>
        <v>1600</v>
      </c>
      <c r="I6" s="27" t="n">
        <f aca="false">Supuestos!$B$7*Supuestos!$E$44*1</f>
        <v>1600</v>
      </c>
      <c r="J6" s="27" t="n">
        <f aca="false">Supuestos!$B$7*Supuestos!$E$44*1</f>
        <v>1600</v>
      </c>
      <c r="K6" s="27" t="n">
        <f aca="false">Supuestos!$B$7*Supuestos!$E$44*1</f>
        <v>1600</v>
      </c>
      <c r="L6" s="27" t="n">
        <f aca="false">Supuestos!$B$7*Supuestos!$E$44*1</f>
        <v>1600</v>
      </c>
      <c r="M6" s="27" t="n">
        <f aca="false">Supuestos!$B$7*Supuestos!$E$44*1</f>
        <v>1600</v>
      </c>
      <c r="N6" s="27" t="n">
        <f aca="false">Supuestos!$B$7*Supuestos!$E$44*1</f>
        <v>1600</v>
      </c>
      <c r="O6" s="27" t="n">
        <f aca="false">Supuestos!$B$7*Supuestos!$E$44*1</f>
        <v>1600</v>
      </c>
      <c r="P6" s="27" t="n">
        <f aca="false">Supuestos!$B$7*Supuestos!$E$44*1</f>
        <v>1600</v>
      </c>
      <c r="Q6" s="27" t="n">
        <f aca="false">Supuestos!$B$7*Supuestos!$E$44*1</f>
        <v>1600</v>
      </c>
      <c r="R6" s="27" t="n">
        <f aca="false">Supuestos!$B$7*Supuestos!$E$44*1</f>
        <v>1600</v>
      </c>
      <c r="S6" s="27" t="n">
        <f aca="false">Supuestos!$B$7*Supuestos!$E$44*1</f>
        <v>1600</v>
      </c>
      <c r="T6" s="27" t="n">
        <f aca="false">Supuestos!$B$7*Supuestos!$E$44*1</f>
        <v>1600</v>
      </c>
      <c r="U6" s="27" t="n">
        <f aca="false">Supuestos!$B$7*Supuestos!$E$44*1</f>
        <v>1600</v>
      </c>
      <c r="V6" s="27" t="n">
        <f aca="false">Supuestos!$B$7*Supuestos!$E$44*1</f>
        <v>1600</v>
      </c>
      <c r="W6" s="27" t="n">
        <f aca="false">Supuestos!$B$7*Supuestos!$E$44*1</f>
        <v>1600</v>
      </c>
      <c r="X6" s="27" t="n">
        <f aca="false">Supuestos!$B$7*Supuestos!$E$44*1</f>
        <v>1600</v>
      </c>
      <c r="Y6" s="27" t="n">
        <f aca="false">Supuestos!$B$7*Supuestos!$E$44*1</f>
        <v>1600</v>
      </c>
      <c r="Z6" s="28" t="n">
        <f aca="false">SUM(B6:Y6)</f>
        <v>37760</v>
      </c>
    </row>
    <row r="7" customFormat="false" ht="15" hidden="false" customHeight="false" outlineLevel="0" collapsed="false">
      <c r="A7" s="4" t="s">
        <v>141</v>
      </c>
      <c r="B7" s="27" t="n">
        <f aca="false">B6/Supuestos!$B$6</f>
        <v>1920</v>
      </c>
      <c r="C7" s="27" t="n">
        <f aca="false">C6/Supuestos!$B$6</f>
        <v>3200</v>
      </c>
      <c r="D7" s="27" t="n">
        <f aca="false">D6/Supuestos!$B$6</f>
        <v>3200</v>
      </c>
      <c r="E7" s="27" t="n">
        <f aca="false">E6/Supuestos!$B$6</f>
        <v>3200</v>
      </c>
      <c r="F7" s="27" t="n">
        <f aca="false">F6/Supuestos!$B$6</f>
        <v>3200</v>
      </c>
      <c r="G7" s="27" t="n">
        <f aca="false">G6/Supuestos!$B$6</f>
        <v>3200</v>
      </c>
      <c r="H7" s="27" t="n">
        <f aca="false">H6/Supuestos!$B$6</f>
        <v>3200</v>
      </c>
      <c r="I7" s="27" t="n">
        <f aca="false">I6/Supuestos!$B$6</f>
        <v>3200</v>
      </c>
      <c r="J7" s="27" t="n">
        <f aca="false">J6/Supuestos!$B$6</f>
        <v>3200</v>
      </c>
      <c r="K7" s="27" t="n">
        <f aca="false">K6/Supuestos!$B$6</f>
        <v>3200</v>
      </c>
      <c r="L7" s="27" t="n">
        <f aca="false">L6/Supuestos!$B$6</f>
        <v>3200</v>
      </c>
      <c r="M7" s="27" t="n">
        <f aca="false">M6/Supuestos!$B$6</f>
        <v>3200</v>
      </c>
      <c r="N7" s="27" t="n">
        <f aca="false">N6/Supuestos!$B$6</f>
        <v>3200</v>
      </c>
      <c r="O7" s="27" t="n">
        <f aca="false">O6/Supuestos!$B$6</f>
        <v>3200</v>
      </c>
      <c r="P7" s="27" t="n">
        <f aca="false">P6/Supuestos!$B$6</f>
        <v>3200</v>
      </c>
      <c r="Q7" s="27" t="n">
        <f aca="false">Q6/Supuestos!$B$6</f>
        <v>3200</v>
      </c>
      <c r="R7" s="27" t="n">
        <f aca="false">R6/Supuestos!$B$6</f>
        <v>3200</v>
      </c>
      <c r="S7" s="27" t="n">
        <f aca="false">S6/Supuestos!$B$6</f>
        <v>3200</v>
      </c>
      <c r="T7" s="27" t="n">
        <f aca="false">T6/Supuestos!$B$6</f>
        <v>3200</v>
      </c>
      <c r="U7" s="27" t="n">
        <f aca="false">U6/Supuestos!$B$6</f>
        <v>3200</v>
      </c>
      <c r="V7" s="27" t="n">
        <f aca="false">V6/Supuestos!$B$6</f>
        <v>3200</v>
      </c>
      <c r="W7" s="27" t="n">
        <f aca="false">W6/Supuestos!$B$6</f>
        <v>3200</v>
      </c>
      <c r="X7" s="27" t="n">
        <f aca="false">X6/Supuestos!$B$6</f>
        <v>3200</v>
      </c>
      <c r="Y7" s="27" t="n">
        <f aca="false">Y6/Supuestos!$B$6</f>
        <v>3200</v>
      </c>
      <c r="Z7" s="28" t="n">
        <f aca="false">SUM(B7:Y7)</f>
        <v>75520</v>
      </c>
    </row>
    <row r="8" customFormat="false" ht="15" hidden="false" customHeight="false" outlineLevel="0" collapsed="false">
      <c r="A8" s="4" t="s">
        <v>142</v>
      </c>
      <c r="B8" s="27" t="n">
        <f aca="false">SUM($B$7:B$7)</f>
        <v>1920</v>
      </c>
      <c r="C8" s="27" t="n">
        <f aca="false">SUM($B$7:C$7)</f>
        <v>5120</v>
      </c>
      <c r="D8" s="27" t="n">
        <f aca="false">SUM($B$7:D$7)</f>
        <v>8320</v>
      </c>
      <c r="E8" s="27" t="n">
        <f aca="false">SUM($B$7:E$7)</f>
        <v>11520</v>
      </c>
      <c r="F8" s="27" t="n">
        <f aca="false">SUM($B$7:F$7)</f>
        <v>14720</v>
      </c>
      <c r="G8" s="27" t="n">
        <f aca="false">SUM($B$7:G$7)</f>
        <v>17920</v>
      </c>
      <c r="H8" s="27" t="n">
        <f aca="false">SUM($B$7:H$7)</f>
        <v>21120</v>
      </c>
      <c r="I8" s="27" t="n">
        <f aca="false">SUM($B$7:I$7)</f>
        <v>24320</v>
      </c>
      <c r="J8" s="27" t="n">
        <f aca="false">SUM($B$7:J$7)</f>
        <v>27520</v>
      </c>
      <c r="K8" s="27" t="n">
        <f aca="false">SUM($B$7:K$7)</f>
        <v>30720</v>
      </c>
      <c r="L8" s="27" t="n">
        <f aca="false">SUM($B$7:L$7)</f>
        <v>33920</v>
      </c>
      <c r="M8" s="27" t="n">
        <f aca="false">SUM($B$7:M$7)</f>
        <v>37120</v>
      </c>
      <c r="N8" s="27" t="n">
        <f aca="false">SUM($B$7:N$7)</f>
        <v>40320</v>
      </c>
      <c r="O8" s="27" t="n">
        <f aca="false">SUM($B$7:O$7)</f>
        <v>43520</v>
      </c>
      <c r="P8" s="27" t="n">
        <f aca="false">SUM($B$7:P$7)</f>
        <v>46720</v>
      </c>
      <c r="Q8" s="27" t="n">
        <f aca="false">SUM($B$7:Q$7)</f>
        <v>49920</v>
      </c>
      <c r="R8" s="27" t="n">
        <f aca="false">SUM($B$7:R$7)</f>
        <v>53120</v>
      </c>
      <c r="S8" s="27" t="n">
        <f aca="false">SUM($B$7:S$7)</f>
        <v>56320</v>
      </c>
      <c r="T8" s="27" t="n">
        <f aca="false">SUM($B$7:T$7)</f>
        <v>59520</v>
      </c>
      <c r="U8" s="27" t="n">
        <f aca="false">SUM($B$7:U$7)</f>
        <v>62720</v>
      </c>
      <c r="V8" s="27" t="n">
        <f aca="false">SUM($B$7:V$7)</f>
        <v>65920</v>
      </c>
      <c r="W8" s="27" t="n">
        <f aca="false">SUM($B$7:W$7)</f>
        <v>69120</v>
      </c>
      <c r="X8" s="27" t="n">
        <f aca="false">SUM($B$7:X$7)</f>
        <v>72320</v>
      </c>
      <c r="Y8" s="27" t="n">
        <f aca="false">SUM($B$7:Y$7)</f>
        <v>75520</v>
      </c>
    </row>
    <row r="9" customFormat="false" ht="15" hidden="false" customHeight="false" outlineLevel="0" collapsed="false">
      <c r="A9" s="4" t="s">
        <v>143</v>
      </c>
      <c r="B9" s="27" t="n">
        <f aca="false">B6*(1-Supuestos!$B$9)</f>
        <v>480</v>
      </c>
      <c r="C9" s="27" t="n">
        <f aca="false">C6*(1-Supuestos!$B$9)</f>
        <v>800</v>
      </c>
      <c r="D9" s="27" t="n">
        <f aca="false">D6*(1-Supuestos!$B$9)</f>
        <v>800</v>
      </c>
      <c r="E9" s="27" t="n">
        <f aca="false">E6*(1-Supuestos!$B$9)</f>
        <v>800</v>
      </c>
      <c r="F9" s="27" t="n">
        <f aca="false">F6*(1-Supuestos!$B$9)</f>
        <v>800</v>
      </c>
      <c r="G9" s="27" t="n">
        <f aca="false">G6*(1-Supuestos!$B$9)</f>
        <v>800</v>
      </c>
      <c r="H9" s="27" t="n">
        <f aca="false">H6*(1-Supuestos!$B$9)</f>
        <v>800</v>
      </c>
      <c r="I9" s="27" t="n">
        <f aca="false">I6*(1-Supuestos!$B$9)</f>
        <v>800</v>
      </c>
      <c r="J9" s="27" t="n">
        <f aca="false">J6*(1-Supuestos!$B$9)</f>
        <v>800</v>
      </c>
      <c r="K9" s="27" t="n">
        <f aca="false">K6*(1-Supuestos!$B$9)</f>
        <v>800</v>
      </c>
      <c r="L9" s="27" t="n">
        <f aca="false">L6*(1-Supuestos!$B$9)</f>
        <v>800</v>
      </c>
      <c r="M9" s="27" t="n">
        <f aca="false">M6*(1-Supuestos!$B$9)</f>
        <v>800</v>
      </c>
      <c r="N9" s="27" t="n">
        <f aca="false">N6*(1-Supuestos!$B$9)</f>
        <v>800</v>
      </c>
      <c r="O9" s="27" t="n">
        <f aca="false">O6*(1-Supuestos!$B$9)</f>
        <v>800</v>
      </c>
      <c r="P9" s="27" t="n">
        <f aca="false">P6*(1-Supuestos!$B$9)</f>
        <v>800</v>
      </c>
      <c r="Q9" s="27" t="n">
        <f aca="false">Q6*(1-Supuestos!$B$9)</f>
        <v>800</v>
      </c>
      <c r="R9" s="27" t="n">
        <f aca="false">R6*(1-Supuestos!$B$9)</f>
        <v>800</v>
      </c>
      <c r="S9" s="27" t="n">
        <f aca="false">S6*(1-Supuestos!$B$9)</f>
        <v>800</v>
      </c>
      <c r="T9" s="27" t="n">
        <f aca="false">T6*(1-Supuestos!$B$9)</f>
        <v>800</v>
      </c>
      <c r="U9" s="27" t="n">
        <f aca="false">U6*(1-Supuestos!$B$9)</f>
        <v>800</v>
      </c>
      <c r="V9" s="27" t="n">
        <f aca="false">V6*(1-Supuestos!$B$9)</f>
        <v>800</v>
      </c>
      <c r="W9" s="27" t="n">
        <f aca="false">W6*(1-Supuestos!$B$9)</f>
        <v>800</v>
      </c>
      <c r="X9" s="27" t="n">
        <f aca="false">X6*(1-Supuestos!$B$9)</f>
        <v>800</v>
      </c>
      <c r="Y9" s="27" t="n">
        <f aca="false">Y6*(1-Supuestos!$B$9)</f>
        <v>800</v>
      </c>
      <c r="Z9" s="28" t="n">
        <f aca="false">SUM(B9:Y9)</f>
        <v>18880</v>
      </c>
    </row>
    <row r="10" customFormat="false" ht="15" hidden="false" customHeight="false" outlineLevel="0" collapsed="false">
      <c r="A10" s="4" t="s">
        <v>144</v>
      </c>
      <c r="B10" s="27" t="n">
        <f aca="false">B6*Supuestos!$B$9</f>
        <v>480</v>
      </c>
      <c r="C10" s="27" t="n">
        <f aca="false">C6*Supuestos!$B$9</f>
        <v>800</v>
      </c>
      <c r="D10" s="27" t="n">
        <f aca="false">D6*Supuestos!$B$9</f>
        <v>800</v>
      </c>
      <c r="E10" s="27" t="n">
        <f aca="false">E6*Supuestos!$B$9</f>
        <v>800</v>
      </c>
      <c r="F10" s="27" t="n">
        <f aca="false">F6*Supuestos!$B$9</f>
        <v>800</v>
      </c>
      <c r="G10" s="27" t="n">
        <f aca="false">G6*Supuestos!$B$9</f>
        <v>800</v>
      </c>
      <c r="H10" s="27" t="n">
        <f aca="false">H6*Supuestos!$B$9</f>
        <v>800</v>
      </c>
      <c r="I10" s="27" t="n">
        <f aca="false">I6*Supuestos!$B$9</f>
        <v>800</v>
      </c>
      <c r="J10" s="27" t="n">
        <f aca="false">J6*Supuestos!$B$9</f>
        <v>800</v>
      </c>
      <c r="K10" s="27" t="n">
        <f aca="false">K6*Supuestos!$B$9</f>
        <v>800</v>
      </c>
      <c r="L10" s="27" t="n">
        <f aca="false">L6*Supuestos!$B$9</f>
        <v>800</v>
      </c>
      <c r="M10" s="27" t="n">
        <f aca="false">M6*Supuestos!$B$9</f>
        <v>800</v>
      </c>
      <c r="N10" s="27" t="n">
        <f aca="false">N6*Supuestos!$B$9</f>
        <v>800</v>
      </c>
      <c r="O10" s="27" t="n">
        <f aca="false">O6*Supuestos!$B$9</f>
        <v>800</v>
      </c>
      <c r="P10" s="27" t="n">
        <f aca="false">P6*Supuestos!$B$9</f>
        <v>800</v>
      </c>
      <c r="Q10" s="27" t="n">
        <f aca="false">Q6*Supuestos!$B$9</f>
        <v>800</v>
      </c>
      <c r="R10" s="27" t="n">
        <f aca="false">R6*Supuestos!$B$9</f>
        <v>800</v>
      </c>
      <c r="S10" s="27" t="n">
        <f aca="false">S6*Supuestos!$B$9</f>
        <v>800</v>
      </c>
      <c r="T10" s="27" t="n">
        <f aca="false">T6*Supuestos!$B$9</f>
        <v>800</v>
      </c>
      <c r="U10" s="27" t="n">
        <f aca="false">U6*Supuestos!$B$9</f>
        <v>800</v>
      </c>
      <c r="V10" s="27" t="n">
        <f aca="false">V6*Supuestos!$B$9</f>
        <v>800</v>
      </c>
      <c r="W10" s="27" t="n">
        <f aca="false">W6*Supuestos!$B$9</f>
        <v>800</v>
      </c>
      <c r="X10" s="27" t="n">
        <f aca="false">X6*Supuestos!$B$9</f>
        <v>800</v>
      </c>
      <c r="Y10" s="27" t="n">
        <f aca="false">Y6*Supuestos!$B$9</f>
        <v>800</v>
      </c>
      <c r="Z10" s="28" t="n">
        <f aca="false">SUM(B10:Y10)</f>
        <v>18880</v>
      </c>
    </row>
    <row r="11" customFormat="false" ht="15" hidden="false" customHeight="false" outlineLevel="0" collapsed="false">
      <c r="A11" s="10" t="s">
        <v>145</v>
      </c>
    </row>
    <row r="12" customFormat="false" ht="15" hidden="false" customHeight="false" outlineLevel="0" collapsed="false">
      <c r="A12" s="4" t="s">
        <v>146</v>
      </c>
      <c r="B12" s="29" t="n">
        <f aca="false">B9*Supuestos!$B$20*Supuestos!$E$45</f>
        <v>124800</v>
      </c>
      <c r="C12" s="29" t="n">
        <f aca="false">C9*Supuestos!$B$20*Supuestos!$E$45</f>
        <v>208000</v>
      </c>
      <c r="D12" s="29" t="n">
        <f aca="false">D9*Supuestos!$B$20*Supuestos!$E$45</f>
        <v>208000</v>
      </c>
      <c r="E12" s="29" t="n">
        <f aca="false">E9*Supuestos!$B$20*Supuestos!$E$45</f>
        <v>208000</v>
      </c>
      <c r="F12" s="29" t="n">
        <f aca="false">F9*Supuestos!$B$20*Supuestos!$E$45</f>
        <v>208000</v>
      </c>
      <c r="G12" s="29" t="n">
        <f aca="false">G9*Supuestos!$B$20*Supuestos!$E$45</f>
        <v>208000</v>
      </c>
      <c r="H12" s="29" t="n">
        <f aca="false">H9*Supuestos!$B$20*Supuestos!$E$45</f>
        <v>208000</v>
      </c>
      <c r="I12" s="29" t="n">
        <f aca="false">I9*Supuestos!$B$20*Supuestos!$E$45</f>
        <v>208000</v>
      </c>
      <c r="J12" s="29" t="n">
        <f aca="false">J9*Supuestos!$B$20*Supuestos!$E$45</f>
        <v>208000</v>
      </c>
      <c r="K12" s="29" t="n">
        <f aca="false">K9*Supuestos!$B$20*Supuestos!$E$45</f>
        <v>208000</v>
      </c>
      <c r="L12" s="29" t="n">
        <f aca="false">L9*Supuestos!$B$20*Supuestos!$E$45</f>
        <v>208000</v>
      </c>
      <c r="M12" s="29" t="n">
        <f aca="false">M9*Supuestos!$B$20*Supuestos!$E$45</f>
        <v>208000</v>
      </c>
      <c r="N12" s="29" t="n">
        <f aca="false">N9*Supuestos!$B$20*Supuestos!$E$45</f>
        <v>208000</v>
      </c>
      <c r="O12" s="29" t="n">
        <f aca="false">O9*Supuestos!$B$20*Supuestos!$E$45</f>
        <v>208000</v>
      </c>
      <c r="P12" s="29" t="n">
        <f aca="false">P9*Supuestos!$B$20*Supuestos!$E$45</f>
        <v>208000</v>
      </c>
      <c r="Q12" s="29" t="n">
        <f aca="false">Q9*Supuestos!$B$20*Supuestos!$E$45</f>
        <v>208000</v>
      </c>
      <c r="R12" s="29" t="n">
        <f aca="false">R9*Supuestos!$B$20*Supuestos!$E$45</f>
        <v>208000</v>
      </c>
      <c r="S12" s="29" t="n">
        <f aca="false">S9*Supuestos!$B$20*Supuestos!$E$45</f>
        <v>208000</v>
      </c>
      <c r="T12" s="29" t="n">
        <f aca="false">T9*Supuestos!$B$20*Supuestos!$E$45</f>
        <v>208000</v>
      </c>
      <c r="U12" s="29" t="n">
        <f aca="false">U9*Supuestos!$B$20*Supuestos!$E$45</f>
        <v>208000</v>
      </c>
      <c r="V12" s="29" t="n">
        <f aca="false">V9*Supuestos!$B$20*Supuestos!$E$45</f>
        <v>208000</v>
      </c>
      <c r="W12" s="29" t="n">
        <f aca="false">W9*Supuestos!$B$20*Supuestos!$E$45</f>
        <v>208000</v>
      </c>
      <c r="X12" s="29" t="n">
        <f aca="false">X9*Supuestos!$B$20*Supuestos!$E$45</f>
        <v>208000</v>
      </c>
      <c r="Y12" s="29" t="n">
        <f aca="false">Y9*Supuestos!$B$20*Supuestos!$E$45</f>
        <v>208000</v>
      </c>
      <c r="Z12" s="30" t="n">
        <f aca="false">SUM(B12:Y12)</f>
        <v>4908800</v>
      </c>
    </row>
    <row r="13" customFormat="false" ht="15" hidden="false" customHeight="false" outlineLevel="0" collapsed="false">
      <c r="A13" s="4" t="s">
        <v>147</v>
      </c>
      <c r="B13" s="29" t="n">
        <f aca="false">B10*Supuestos!$B$21*Supuestos!$E$45</f>
        <v>158400</v>
      </c>
      <c r="C13" s="29" t="n">
        <f aca="false">C10*Supuestos!$B$21*Supuestos!$E$45</f>
        <v>264000</v>
      </c>
      <c r="D13" s="29" t="n">
        <f aca="false">D10*Supuestos!$B$21*Supuestos!$E$45</f>
        <v>264000</v>
      </c>
      <c r="E13" s="29" t="n">
        <f aca="false">E10*Supuestos!$B$21*Supuestos!$E$45</f>
        <v>264000</v>
      </c>
      <c r="F13" s="29" t="n">
        <f aca="false">F10*Supuestos!$B$21*Supuestos!$E$45</f>
        <v>264000</v>
      </c>
      <c r="G13" s="29" t="n">
        <f aca="false">G10*Supuestos!$B$21*Supuestos!$E$45</f>
        <v>264000</v>
      </c>
      <c r="H13" s="29" t="n">
        <f aca="false">H10*Supuestos!$B$21*Supuestos!$E$45</f>
        <v>264000</v>
      </c>
      <c r="I13" s="29" t="n">
        <f aca="false">I10*Supuestos!$B$21*Supuestos!$E$45</f>
        <v>264000</v>
      </c>
      <c r="J13" s="29" t="n">
        <f aca="false">J10*Supuestos!$B$21*Supuestos!$E$45</f>
        <v>264000</v>
      </c>
      <c r="K13" s="29" t="n">
        <f aca="false">K10*Supuestos!$B$21*Supuestos!$E$45</f>
        <v>264000</v>
      </c>
      <c r="L13" s="29" t="n">
        <f aca="false">L10*Supuestos!$B$21*Supuestos!$E$45</f>
        <v>264000</v>
      </c>
      <c r="M13" s="29" t="n">
        <f aca="false">M10*Supuestos!$B$21*Supuestos!$E$45</f>
        <v>264000</v>
      </c>
      <c r="N13" s="29" t="n">
        <f aca="false">N10*Supuestos!$B$21*Supuestos!$E$45</f>
        <v>264000</v>
      </c>
      <c r="O13" s="29" t="n">
        <f aca="false">O10*Supuestos!$B$21*Supuestos!$E$45</f>
        <v>264000</v>
      </c>
      <c r="P13" s="29" t="n">
        <f aca="false">P10*Supuestos!$B$21*Supuestos!$E$45</f>
        <v>264000</v>
      </c>
      <c r="Q13" s="29" t="n">
        <f aca="false">Q10*Supuestos!$B$21*Supuestos!$E$45</f>
        <v>264000</v>
      </c>
      <c r="R13" s="29" t="n">
        <f aca="false">R10*Supuestos!$B$21*Supuestos!$E$45</f>
        <v>264000</v>
      </c>
      <c r="S13" s="29" t="n">
        <f aca="false">S10*Supuestos!$B$21*Supuestos!$E$45</f>
        <v>264000</v>
      </c>
      <c r="T13" s="29" t="n">
        <f aca="false">T10*Supuestos!$B$21*Supuestos!$E$45</f>
        <v>264000</v>
      </c>
      <c r="U13" s="29" t="n">
        <f aca="false">U10*Supuestos!$B$21*Supuestos!$E$45</f>
        <v>264000</v>
      </c>
      <c r="V13" s="29" t="n">
        <f aca="false">V10*Supuestos!$B$21*Supuestos!$E$45</f>
        <v>264000</v>
      </c>
      <c r="W13" s="29" t="n">
        <f aca="false">W10*Supuestos!$B$21*Supuestos!$E$45</f>
        <v>264000</v>
      </c>
      <c r="X13" s="29" t="n">
        <f aca="false">X10*Supuestos!$B$21*Supuestos!$E$45</f>
        <v>264000</v>
      </c>
      <c r="Y13" s="29" t="n">
        <f aca="false">Y10*Supuestos!$B$21*Supuestos!$E$45</f>
        <v>264000</v>
      </c>
      <c r="Z13" s="30" t="n">
        <f aca="false">SUM(B13:Y13)</f>
        <v>6230400</v>
      </c>
    </row>
    <row r="14" customFormat="false" ht="15" hidden="false" customHeight="false" outlineLevel="0" collapsed="false">
      <c r="A14" s="12" t="s">
        <v>148</v>
      </c>
      <c r="B14" s="31" t="n">
        <f aca="false">B12+B13</f>
        <v>283200</v>
      </c>
      <c r="C14" s="31" t="n">
        <f aca="false">C12+C13</f>
        <v>472000</v>
      </c>
      <c r="D14" s="31" t="n">
        <f aca="false">D12+D13</f>
        <v>472000</v>
      </c>
      <c r="E14" s="31" t="n">
        <f aca="false">E12+E13</f>
        <v>472000</v>
      </c>
      <c r="F14" s="31" t="n">
        <f aca="false">F12+F13</f>
        <v>472000</v>
      </c>
      <c r="G14" s="31" t="n">
        <f aca="false">G12+G13</f>
        <v>472000</v>
      </c>
      <c r="H14" s="31" t="n">
        <f aca="false">H12+H13</f>
        <v>472000</v>
      </c>
      <c r="I14" s="31" t="n">
        <f aca="false">I12+I13</f>
        <v>472000</v>
      </c>
      <c r="J14" s="31" t="n">
        <f aca="false">J12+J13</f>
        <v>472000</v>
      </c>
      <c r="K14" s="31" t="n">
        <f aca="false">K12+K13</f>
        <v>472000</v>
      </c>
      <c r="L14" s="31" t="n">
        <f aca="false">L12+L13</f>
        <v>472000</v>
      </c>
      <c r="M14" s="31" t="n">
        <f aca="false">M12+M13</f>
        <v>472000</v>
      </c>
      <c r="N14" s="31" t="n">
        <f aca="false">N12+N13</f>
        <v>472000</v>
      </c>
      <c r="O14" s="31" t="n">
        <f aca="false">O12+O13</f>
        <v>472000</v>
      </c>
      <c r="P14" s="31" t="n">
        <f aca="false">P12+P13</f>
        <v>472000</v>
      </c>
      <c r="Q14" s="31" t="n">
        <f aca="false">Q12+Q13</f>
        <v>472000</v>
      </c>
      <c r="R14" s="31" t="n">
        <f aca="false">R12+R13</f>
        <v>472000</v>
      </c>
      <c r="S14" s="31" t="n">
        <f aca="false">S12+S13</f>
        <v>472000</v>
      </c>
      <c r="T14" s="31" t="n">
        <f aca="false">T12+T13</f>
        <v>472000</v>
      </c>
      <c r="U14" s="31" t="n">
        <f aca="false">U12+U13</f>
        <v>472000</v>
      </c>
      <c r="V14" s="31" t="n">
        <f aca="false">V12+V13</f>
        <v>472000</v>
      </c>
      <c r="W14" s="31" t="n">
        <f aca="false">W12+W13</f>
        <v>472000</v>
      </c>
      <c r="X14" s="31" t="n">
        <f aca="false">X12+X13</f>
        <v>472000</v>
      </c>
      <c r="Y14" s="31" t="n">
        <f aca="false">Y12+Y13</f>
        <v>472000</v>
      </c>
      <c r="Z14" s="30" t="n">
        <f aca="false">SUM(B14:Y14)</f>
        <v>11139200</v>
      </c>
    </row>
    <row r="15" customFormat="false" ht="15" hidden="false" customHeight="false" outlineLevel="0" collapsed="false">
      <c r="A15" s="10" t="s">
        <v>149</v>
      </c>
    </row>
    <row r="16" customFormat="false" ht="15" hidden="false" customHeight="false" outlineLevel="0" collapsed="false">
      <c r="A16" s="4" t="s">
        <v>150</v>
      </c>
      <c r="B16" s="29" t="n">
        <f aca="false">B12*Supuestos!$B$23</f>
        <v>124800</v>
      </c>
      <c r="C16" s="29" t="n">
        <f aca="false">C12*Supuestos!$B$23+B12*(1-Supuestos!$B$23)</f>
        <v>208000</v>
      </c>
      <c r="D16" s="29" t="n">
        <f aca="false">D12*Supuestos!$B$23+C12*(1-Supuestos!$B$23)</f>
        <v>208000</v>
      </c>
      <c r="E16" s="29" t="n">
        <f aca="false">E12*Supuestos!$B$23+D12*(1-Supuestos!$B$23)</f>
        <v>208000</v>
      </c>
      <c r="F16" s="29" t="n">
        <f aca="false">F12*Supuestos!$B$23+E12*(1-Supuestos!$B$23)</f>
        <v>208000</v>
      </c>
      <c r="G16" s="29" t="n">
        <f aca="false">G12*Supuestos!$B$23+F12*(1-Supuestos!$B$23)</f>
        <v>208000</v>
      </c>
      <c r="H16" s="29" t="n">
        <f aca="false">H12*Supuestos!$B$23+G12*(1-Supuestos!$B$23)</f>
        <v>208000</v>
      </c>
      <c r="I16" s="29" t="n">
        <f aca="false">I12*Supuestos!$B$23+H12*(1-Supuestos!$B$23)</f>
        <v>208000</v>
      </c>
      <c r="J16" s="29" t="n">
        <f aca="false">J12*Supuestos!$B$23+I12*(1-Supuestos!$B$23)</f>
        <v>208000</v>
      </c>
      <c r="K16" s="29" t="n">
        <f aca="false">K12*Supuestos!$B$23+J12*(1-Supuestos!$B$23)</f>
        <v>208000</v>
      </c>
      <c r="L16" s="29" t="n">
        <f aca="false">L12*Supuestos!$B$23+K12*(1-Supuestos!$B$23)</f>
        <v>208000</v>
      </c>
      <c r="M16" s="29" t="n">
        <f aca="false">M12*Supuestos!$B$23+L12*(1-Supuestos!$B$23)</f>
        <v>208000</v>
      </c>
      <c r="N16" s="29" t="n">
        <f aca="false">N12*Supuestos!$B$23+M12*(1-Supuestos!$B$23)</f>
        <v>208000</v>
      </c>
      <c r="O16" s="29" t="n">
        <f aca="false">O12*Supuestos!$B$23+N12*(1-Supuestos!$B$23)</f>
        <v>208000</v>
      </c>
      <c r="P16" s="29" t="n">
        <f aca="false">P12*Supuestos!$B$23+O12*(1-Supuestos!$B$23)</f>
        <v>208000</v>
      </c>
      <c r="Q16" s="29" t="n">
        <f aca="false">Q12*Supuestos!$B$23+P12*(1-Supuestos!$B$23)</f>
        <v>208000</v>
      </c>
      <c r="R16" s="29" t="n">
        <f aca="false">R12*Supuestos!$B$23+Q12*(1-Supuestos!$B$23)</f>
        <v>208000</v>
      </c>
      <c r="S16" s="29" t="n">
        <f aca="false">S12*Supuestos!$B$23+R12*(1-Supuestos!$B$23)</f>
        <v>208000</v>
      </c>
      <c r="T16" s="29" t="n">
        <f aca="false">T12*Supuestos!$B$23+S12*(1-Supuestos!$B$23)</f>
        <v>208000</v>
      </c>
      <c r="U16" s="29" t="n">
        <f aca="false">U12*Supuestos!$B$23+T12*(1-Supuestos!$B$23)</f>
        <v>208000</v>
      </c>
      <c r="V16" s="29" t="n">
        <f aca="false">V12*Supuestos!$B$23+U12*(1-Supuestos!$B$23)</f>
        <v>208000</v>
      </c>
      <c r="W16" s="29" t="n">
        <f aca="false">W12*Supuestos!$B$23+V12*(1-Supuestos!$B$23)</f>
        <v>208000</v>
      </c>
      <c r="X16" s="29" t="n">
        <f aca="false">X12*Supuestos!$B$23+W12*(1-Supuestos!$B$23)</f>
        <v>208000</v>
      </c>
      <c r="Y16" s="29" t="n">
        <f aca="false">Y12*Supuestos!$B$23+X12*(1-Supuestos!$B$23)</f>
        <v>208000</v>
      </c>
      <c r="Z16" s="30" t="n">
        <f aca="false">SUM(B16:Y16)</f>
        <v>4908800</v>
      </c>
    </row>
    <row r="17" customFormat="false" ht="15" hidden="false" customHeight="false" outlineLevel="0" collapsed="false">
      <c r="A17" s="4" t="s">
        <v>151</v>
      </c>
      <c r="B17" s="29" t="n">
        <f aca="false">IF(1-Supuestos!$E$46&lt;1,0,INDEX($B$13:$Y$13,1,1-Supuestos!$E$46))</f>
        <v>0</v>
      </c>
      <c r="C17" s="29" t="n">
        <f aca="false">IF(2-Supuestos!$E$46&lt;1,0,INDEX($B$13:$Y$13,1,2-Supuestos!$E$46))</f>
        <v>158400</v>
      </c>
      <c r="D17" s="29" t="n">
        <f aca="false">IF(3-Supuestos!$E$46&lt;1,0,INDEX($B$13:$Y$13,1,3-Supuestos!$E$46))</f>
        <v>264000</v>
      </c>
      <c r="E17" s="29" t="n">
        <f aca="false">IF(4-Supuestos!$E$46&lt;1,0,INDEX($B$13:$Y$13,1,4-Supuestos!$E$46))</f>
        <v>264000</v>
      </c>
      <c r="F17" s="29" t="n">
        <f aca="false">IF(5-Supuestos!$E$46&lt;1,0,INDEX($B$13:$Y$13,1,5-Supuestos!$E$46))</f>
        <v>264000</v>
      </c>
      <c r="G17" s="29" t="n">
        <f aca="false">IF(6-Supuestos!$E$46&lt;1,0,INDEX($B$13:$Y$13,1,6-Supuestos!$E$46))</f>
        <v>264000</v>
      </c>
      <c r="H17" s="29" t="n">
        <f aca="false">IF(7-Supuestos!$E$46&lt;1,0,INDEX($B$13:$Y$13,1,7-Supuestos!$E$46))</f>
        <v>264000</v>
      </c>
      <c r="I17" s="29" t="n">
        <f aca="false">IF(8-Supuestos!$E$46&lt;1,0,INDEX($B$13:$Y$13,1,8-Supuestos!$E$46))</f>
        <v>264000</v>
      </c>
      <c r="J17" s="29" t="n">
        <f aca="false">IF(9-Supuestos!$E$46&lt;1,0,INDEX($B$13:$Y$13,1,9-Supuestos!$E$46))</f>
        <v>264000</v>
      </c>
      <c r="K17" s="29" t="n">
        <f aca="false">IF(10-Supuestos!$E$46&lt;1,0,INDEX($B$13:$Y$13,1,10-Supuestos!$E$46))</f>
        <v>264000</v>
      </c>
      <c r="L17" s="29" t="n">
        <f aca="false">IF(11-Supuestos!$E$46&lt;1,0,INDEX($B$13:$Y$13,1,11-Supuestos!$E$46))</f>
        <v>264000</v>
      </c>
      <c r="M17" s="29" t="n">
        <f aca="false">IF(12-Supuestos!$E$46&lt;1,0,INDEX($B$13:$Y$13,1,12-Supuestos!$E$46))</f>
        <v>264000</v>
      </c>
      <c r="N17" s="29" t="n">
        <f aca="false">IF(13-Supuestos!$E$46&lt;1,0,INDEX($B$13:$Y$13,1,13-Supuestos!$E$46))</f>
        <v>264000</v>
      </c>
      <c r="O17" s="29" t="n">
        <f aca="false">IF(14-Supuestos!$E$46&lt;1,0,INDEX($B$13:$Y$13,1,14-Supuestos!$E$46))</f>
        <v>264000</v>
      </c>
      <c r="P17" s="29" t="n">
        <f aca="false">IF(15-Supuestos!$E$46&lt;1,0,INDEX($B$13:$Y$13,1,15-Supuestos!$E$46))</f>
        <v>264000</v>
      </c>
      <c r="Q17" s="29" t="n">
        <f aca="false">IF(16-Supuestos!$E$46&lt;1,0,INDEX($B$13:$Y$13,1,16-Supuestos!$E$46))</f>
        <v>264000</v>
      </c>
      <c r="R17" s="29" t="n">
        <f aca="false">IF(17-Supuestos!$E$46&lt;1,0,INDEX($B$13:$Y$13,1,17-Supuestos!$E$46))</f>
        <v>264000</v>
      </c>
      <c r="S17" s="29" t="n">
        <f aca="false">IF(18-Supuestos!$E$46&lt;1,0,INDEX($B$13:$Y$13,1,18-Supuestos!$E$46))</f>
        <v>264000</v>
      </c>
      <c r="T17" s="29" t="n">
        <f aca="false">IF(19-Supuestos!$E$46&lt;1,0,INDEX($B$13:$Y$13,1,19-Supuestos!$E$46))</f>
        <v>264000</v>
      </c>
      <c r="U17" s="29" t="n">
        <f aca="false">IF(20-Supuestos!$E$46&lt;1,0,INDEX($B$13:$Y$13,1,20-Supuestos!$E$46))</f>
        <v>264000</v>
      </c>
      <c r="V17" s="29" t="n">
        <f aca="false">IF(21-Supuestos!$E$46&lt;1,0,INDEX($B$13:$Y$13,1,21-Supuestos!$E$46))</f>
        <v>264000</v>
      </c>
      <c r="W17" s="29" t="n">
        <f aca="false">IF(22-Supuestos!$E$46&lt;1,0,INDEX($B$13:$Y$13,1,22-Supuestos!$E$46))</f>
        <v>264000</v>
      </c>
      <c r="X17" s="29" t="n">
        <f aca="false">IF(23-Supuestos!$E$46&lt;1,0,INDEX($B$13:$Y$13,1,23-Supuestos!$E$46))</f>
        <v>264000</v>
      </c>
      <c r="Y17" s="29" t="n">
        <f aca="false">IF(24-Supuestos!$E$46&lt;1,0,INDEX($B$13:$Y$13,1,24-Supuestos!$E$46))</f>
        <v>264000</v>
      </c>
      <c r="Z17" s="30" t="n">
        <f aca="false">SUM(B17:Y17)</f>
        <v>5966400</v>
      </c>
    </row>
    <row r="18" customFormat="false" ht="15" hidden="false" customHeight="false" outlineLevel="0" collapsed="false">
      <c r="A18" s="12" t="s">
        <v>152</v>
      </c>
      <c r="B18" s="31" t="n">
        <f aca="false">B16+B17</f>
        <v>124800</v>
      </c>
      <c r="C18" s="31" t="n">
        <f aca="false">C16+C17</f>
        <v>366400</v>
      </c>
      <c r="D18" s="31" t="n">
        <f aca="false">D16+D17</f>
        <v>472000</v>
      </c>
      <c r="E18" s="31" t="n">
        <f aca="false">E16+E17</f>
        <v>472000</v>
      </c>
      <c r="F18" s="31" t="n">
        <f aca="false">F16+F17</f>
        <v>472000</v>
      </c>
      <c r="G18" s="31" t="n">
        <f aca="false">G16+G17</f>
        <v>472000</v>
      </c>
      <c r="H18" s="31" t="n">
        <f aca="false">H16+H17</f>
        <v>472000</v>
      </c>
      <c r="I18" s="31" t="n">
        <f aca="false">I16+I17</f>
        <v>472000</v>
      </c>
      <c r="J18" s="31" t="n">
        <f aca="false">J16+J17</f>
        <v>472000</v>
      </c>
      <c r="K18" s="31" t="n">
        <f aca="false">K16+K17</f>
        <v>472000</v>
      </c>
      <c r="L18" s="31" t="n">
        <f aca="false">L16+L17</f>
        <v>472000</v>
      </c>
      <c r="M18" s="31" t="n">
        <f aca="false">M16+M17</f>
        <v>472000</v>
      </c>
      <c r="N18" s="31" t="n">
        <f aca="false">N16+N17</f>
        <v>472000</v>
      </c>
      <c r="O18" s="31" t="n">
        <f aca="false">O16+O17</f>
        <v>472000</v>
      </c>
      <c r="P18" s="31" t="n">
        <f aca="false">P16+P17</f>
        <v>472000</v>
      </c>
      <c r="Q18" s="31" t="n">
        <f aca="false">Q16+Q17</f>
        <v>472000</v>
      </c>
      <c r="R18" s="31" t="n">
        <f aca="false">R16+R17</f>
        <v>472000</v>
      </c>
      <c r="S18" s="31" t="n">
        <f aca="false">S16+S17</f>
        <v>472000</v>
      </c>
      <c r="T18" s="31" t="n">
        <f aca="false">T16+T17</f>
        <v>472000</v>
      </c>
      <c r="U18" s="31" t="n">
        <f aca="false">U16+U17</f>
        <v>472000</v>
      </c>
      <c r="V18" s="31" t="n">
        <f aca="false">V16+V17</f>
        <v>472000</v>
      </c>
      <c r="W18" s="31" t="n">
        <f aca="false">W16+W17</f>
        <v>472000</v>
      </c>
      <c r="X18" s="31" t="n">
        <f aca="false">X16+X17</f>
        <v>472000</v>
      </c>
      <c r="Y18" s="31" t="n">
        <f aca="false">Y16+Y17</f>
        <v>472000</v>
      </c>
      <c r="Z18" s="30" t="n">
        <f aca="false">SUM(B18:Y18)</f>
        <v>10875200</v>
      </c>
    </row>
    <row r="19" customFormat="false" ht="15" hidden="false" customHeight="false" outlineLevel="0" collapsed="false">
      <c r="A19" s="10" t="s">
        <v>153</v>
      </c>
    </row>
    <row r="20" customFormat="false" ht="15" hidden="false" customHeight="false" outlineLevel="0" collapsed="false">
      <c r="A20" s="4" t="s">
        <v>154</v>
      </c>
      <c r="B20" s="29" t="n">
        <f aca="false">MIN(Supuestos!$B$11,ROUNDUP(B8/Supuestos!$B$10,0)*Supuestos!$B$10)*Supuestos!$B$14</f>
        <v>147000</v>
      </c>
      <c r="C20" s="29" t="n">
        <f aca="false">MIN(Supuestos!$B$11,ROUNDUP(C8/Supuestos!$B$10,0)*Supuestos!$B$10)*Supuestos!$B$14</f>
        <v>147000</v>
      </c>
      <c r="D20" s="29" t="n">
        <f aca="false">MIN(Supuestos!$B$11,ROUNDUP(D8/Supuestos!$B$10,0)*Supuestos!$B$10)*Supuestos!$B$14</f>
        <v>294000</v>
      </c>
      <c r="E20" s="29" t="n">
        <f aca="false">MIN(Supuestos!$B$11,ROUNDUP(E8/Supuestos!$B$10,0)*Supuestos!$B$10)*Supuestos!$B$14</f>
        <v>294000</v>
      </c>
      <c r="F20" s="29" t="n">
        <f aca="false">MIN(Supuestos!$B$11,ROUNDUP(F8/Supuestos!$B$10,0)*Supuestos!$B$10)*Supuestos!$B$14</f>
        <v>441000</v>
      </c>
      <c r="G20" s="29" t="n">
        <f aca="false">MIN(Supuestos!$B$11,ROUNDUP(G8/Supuestos!$B$10,0)*Supuestos!$B$10)*Supuestos!$B$14</f>
        <v>441000</v>
      </c>
      <c r="H20" s="29" t="n">
        <f aca="false">MIN(Supuestos!$B$11,ROUNDUP(H8/Supuestos!$B$10,0)*Supuestos!$B$10)*Supuestos!$B$14</f>
        <v>588000</v>
      </c>
      <c r="I20" s="29" t="n">
        <f aca="false">MIN(Supuestos!$B$11,ROUNDUP(I8/Supuestos!$B$10,0)*Supuestos!$B$10)*Supuestos!$B$14</f>
        <v>588000</v>
      </c>
      <c r="J20" s="29" t="n">
        <f aca="false">MIN(Supuestos!$B$11,ROUNDUP(J8/Supuestos!$B$10,0)*Supuestos!$B$10)*Supuestos!$B$14</f>
        <v>588000</v>
      </c>
      <c r="K20" s="29" t="n">
        <f aca="false">MIN(Supuestos!$B$11,ROUNDUP(K8/Supuestos!$B$10,0)*Supuestos!$B$10)*Supuestos!$B$14</f>
        <v>735000</v>
      </c>
      <c r="L20" s="29" t="n">
        <f aca="false">MIN(Supuestos!$B$11,ROUNDUP(L8/Supuestos!$B$10,0)*Supuestos!$B$10)*Supuestos!$B$14</f>
        <v>735000</v>
      </c>
      <c r="M20" s="29" t="n">
        <f aca="false">MIN(Supuestos!$B$11,ROUNDUP(M8/Supuestos!$B$10,0)*Supuestos!$B$10)*Supuestos!$B$14</f>
        <v>882000</v>
      </c>
      <c r="N20" s="29" t="n">
        <f aca="false">MIN(Supuestos!$B$11,ROUNDUP(N8/Supuestos!$B$10,0)*Supuestos!$B$10)*Supuestos!$B$14</f>
        <v>882000</v>
      </c>
      <c r="O20" s="29" t="n">
        <f aca="false">MIN(Supuestos!$B$11,ROUNDUP(O8/Supuestos!$B$10,0)*Supuestos!$B$10)*Supuestos!$B$14</f>
        <v>1029000</v>
      </c>
      <c r="P20" s="29" t="n">
        <f aca="false">MIN(Supuestos!$B$11,ROUNDUP(P8/Supuestos!$B$10,0)*Supuestos!$B$10)*Supuestos!$B$14</f>
        <v>1029000</v>
      </c>
      <c r="Q20" s="29" t="n">
        <f aca="false">MIN(Supuestos!$B$11,ROUNDUP(Q8/Supuestos!$B$10,0)*Supuestos!$B$10)*Supuestos!$B$14</f>
        <v>1050000</v>
      </c>
      <c r="R20" s="29" t="n">
        <f aca="false">MIN(Supuestos!$B$11,ROUNDUP(R8/Supuestos!$B$10,0)*Supuestos!$B$10)*Supuestos!$B$14</f>
        <v>1050000</v>
      </c>
      <c r="S20" s="29" t="n">
        <f aca="false">MIN(Supuestos!$B$11,ROUNDUP(S8/Supuestos!$B$10,0)*Supuestos!$B$10)*Supuestos!$B$14</f>
        <v>1050000</v>
      </c>
      <c r="T20" s="29" t="n">
        <f aca="false">MIN(Supuestos!$B$11,ROUNDUP(T8/Supuestos!$B$10,0)*Supuestos!$B$10)*Supuestos!$B$14</f>
        <v>1050000</v>
      </c>
      <c r="U20" s="29" t="n">
        <f aca="false">MIN(Supuestos!$B$11,ROUNDUP(U8/Supuestos!$B$10,0)*Supuestos!$B$10)*Supuestos!$B$14</f>
        <v>1050000</v>
      </c>
      <c r="V20" s="29" t="n">
        <f aca="false">MIN(Supuestos!$B$11,ROUNDUP(V8/Supuestos!$B$10,0)*Supuestos!$B$10)*Supuestos!$B$14</f>
        <v>1050000</v>
      </c>
      <c r="W20" s="29" t="n">
        <f aca="false">MIN(Supuestos!$B$11,ROUNDUP(W8/Supuestos!$B$10,0)*Supuestos!$B$10)*Supuestos!$B$14</f>
        <v>1050000</v>
      </c>
      <c r="X20" s="29" t="n">
        <f aca="false">MIN(Supuestos!$B$11,ROUNDUP(X8/Supuestos!$B$10,0)*Supuestos!$B$10)*Supuestos!$B$14</f>
        <v>1050000</v>
      </c>
      <c r="Y20" s="29" t="n">
        <f aca="false">MIN(Supuestos!$B$11,ROUNDUP(Y8/Supuestos!$B$10,0)*Supuestos!$B$10)*Supuestos!$B$14</f>
        <v>1050000</v>
      </c>
    </row>
    <row r="21" customFormat="false" ht="15" hidden="false" customHeight="false" outlineLevel="0" collapsed="false">
      <c r="A21" s="4" t="s">
        <v>155</v>
      </c>
      <c r="B21" s="29" t="n">
        <f aca="false">B20</f>
        <v>147000</v>
      </c>
      <c r="C21" s="29" t="n">
        <f aca="false">C20-B20</f>
        <v>0</v>
      </c>
      <c r="D21" s="29" t="n">
        <f aca="false">D20-C20</f>
        <v>147000</v>
      </c>
      <c r="E21" s="29" t="n">
        <f aca="false">E20-D20</f>
        <v>0</v>
      </c>
      <c r="F21" s="29" t="n">
        <f aca="false">F20-E20</f>
        <v>147000</v>
      </c>
      <c r="G21" s="29" t="n">
        <f aca="false">G20-F20</f>
        <v>0</v>
      </c>
      <c r="H21" s="29" t="n">
        <f aca="false">H20-G20</f>
        <v>147000</v>
      </c>
      <c r="I21" s="29" t="n">
        <f aca="false">I20-H20</f>
        <v>0</v>
      </c>
      <c r="J21" s="29" t="n">
        <f aca="false">J20-I20</f>
        <v>0</v>
      </c>
      <c r="K21" s="29" t="n">
        <f aca="false">K20-J20</f>
        <v>147000</v>
      </c>
      <c r="L21" s="29" t="n">
        <f aca="false">L20-K20</f>
        <v>0</v>
      </c>
      <c r="M21" s="29" t="n">
        <f aca="false">M20-L20</f>
        <v>147000</v>
      </c>
      <c r="N21" s="29" t="n">
        <f aca="false">N20-M20</f>
        <v>0</v>
      </c>
      <c r="O21" s="29" t="n">
        <f aca="false">O20-N20</f>
        <v>147000</v>
      </c>
      <c r="P21" s="29" t="n">
        <f aca="false">P20-O20</f>
        <v>0</v>
      </c>
      <c r="Q21" s="29" t="n">
        <f aca="false">Q20-P20</f>
        <v>21000</v>
      </c>
      <c r="R21" s="29" t="n">
        <f aca="false">R20-Q20</f>
        <v>0</v>
      </c>
      <c r="S21" s="29" t="n">
        <f aca="false">S20-R20</f>
        <v>0</v>
      </c>
      <c r="T21" s="29" t="n">
        <f aca="false">T20-S20</f>
        <v>0</v>
      </c>
      <c r="U21" s="29" t="n">
        <f aca="false">U20-T20</f>
        <v>0</v>
      </c>
      <c r="V21" s="29" t="n">
        <f aca="false">V20-U20</f>
        <v>0</v>
      </c>
      <c r="W21" s="29" t="n">
        <f aca="false">W20-V20</f>
        <v>0</v>
      </c>
      <c r="X21" s="29" t="n">
        <f aca="false">X20-W20</f>
        <v>0</v>
      </c>
      <c r="Y21" s="29" t="n">
        <f aca="false">Y20-X20</f>
        <v>0</v>
      </c>
      <c r="Z21" s="30" t="n">
        <f aca="false">SUM(B21:Y21)</f>
        <v>1050000</v>
      </c>
    </row>
    <row r="22" customFormat="false" ht="15" hidden="false" customHeight="false" outlineLevel="0" collapsed="false">
      <c r="A22" s="4" t="s">
        <v>156</v>
      </c>
      <c r="B22" s="29" t="n">
        <f aca="false">B7*Supuestos!$B$33</f>
        <v>41142.8571428571</v>
      </c>
      <c r="C22" s="29" t="n">
        <f aca="false">C7*Supuestos!$B$33</f>
        <v>68571.4285714286</v>
      </c>
      <c r="D22" s="29" t="n">
        <f aca="false">D7*Supuestos!$B$33</f>
        <v>68571.4285714286</v>
      </c>
      <c r="E22" s="29" t="n">
        <f aca="false">E7*Supuestos!$B$33</f>
        <v>68571.4285714286</v>
      </c>
      <c r="F22" s="29" t="n">
        <f aca="false">F7*Supuestos!$B$33</f>
        <v>68571.4285714286</v>
      </c>
      <c r="G22" s="29" t="n">
        <f aca="false">G7*Supuestos!$B$33</f>
        <v>68571.4285714286</v>
      </c>
      <c r="H22" s="29" t="n">
        <f aca="false">H7*Supuestos!$B$33</f>
        <v>68571.4285714286</v>
      </c>
      <c r="I22" s="29" t="n">
        <f aca="false">I7*Supuestos!$B$33</f>
        <v>68571.4285714286</v>
      </c>
      <c r="J22" s="29" t="n">
        <f aca="false">J7*Supuestos!$B$33</f>
        <v>68571.4285714286</v>
      </c>
      <c r="K22" s="29" t="n">
        <f aca="false">K7*Supuestos!$B$33</f>
        <v>68571.4285714286</v>
      </c>
      <c r="L22" s="29" t="n">
        <f aca="false">L7*Supuestos!$B$33</f>
        <v>68571.4285714286</v>
      </c>
      <c r="M22" s="29" t="n">
        <f aca="false">M7*Supuestos!$B$33</f>
        <v>68571.4285714286</v>
      </c>
      <c r="N22" s="29" t="n">
        <f aca="false">N7*Supuestos!$B$33</f>
        <v>68571.4285714286</v>
      </c>
      <c r="O22" s="29" t="n">
        <f aca="false">O7*Supuestos!$B$33</f>
        <v>68571.4285714286</v>
      </c>
      <c r="P22" s="29" t="n">
        <f aca="false">P7*Supuestos!$B$33</f>
        <v>68571.4285714286</v>
      </c>
      <c r="Q22" s="29" t="n">
        <f aca="false">Q7*Supuestos!$B$33</f>
        <v>68571.4285714286</v>
      </c>
      <c r="R22" s="29" t="n">
        <f aca="false">R7*Supuestos!$B$33</f>
        <v>68571.4285714286</v>
      </c>
      <c r="S22" s="29" t="n">
        <f aca="false">S7*Supuestos!$B$33</f>
        <v>68571.4285714286</v>
      </c>
      <c r="T22" s="29" t="n">
        <f aca="false">T7*Supuestos!$B$33</f>
        <v>68571.4285714286</v>
      </c>
      <c r="U22" s="29" t="n">
        <f aca="false">U7*Supuestos!$B$33</f>
        <v>68571.4285714286</v>
      </c>
      <c r="V22" s="29" t="n">
        <f aca="false">V7*Supuestos!$B$33</f>
        <v>68571.4285714286</v>
      </c>
      <c r="W22" s="29" t="n">
        <f aca="false">W7*Supuestos!$B$33</f>
        <v>68571.4285714286</v>
      </c>
      <c r="X22" s="29" t="n">
        <f aca="false">X7*Supuestos!$B$33</f>
        <v>68571.4285714286</v>
      </c>
      <c r="Y22" s="29" t="n">
        <f aca="false">Y7*Supuestos!$B$33</f>
        <v>68571.4285714286</v>
      </c>
      <c r="Z22" s="30" t="n">
        <f aca="false">SUM(B22:Y22)</f>
        <v>1618285.71428571</v>
      </c>
    </row>
    <row r="23" customFormat="false" ht="15" hidden="false" customHeight="false" outlineLevel="0" collapsed="false">
      <c r="A23" s="4" t="s">
        <v>157</v>
      </c>
      <c r="B23" s="29" t="n">
        <f aca="false">B6*Supuestos!$B$34</f>
        <v>72137.1428571429</v>
      </c>
      <c r="C23" s="29" t="n">
        <f aca="false">C6*Supuestos!$B$34</f>
        <v>120228.571428571</v>
      </c>
      <c r="D23" s="29" t="n">
        <f aca="false">D6*Supuestos!$B$34</f>
        <v>120228.571428571</v>
      </c>
      <c r="E23" s="29" t="n">
        <f aca="false">E6*Supuestos!$B$34</f>
        <v>120228.571428571</v>
      </c>
      <c r="F23" s="29" t="n">
        <f aca="false">F6*Supuestos!$B$34</f>
        <v>120228.571428571</v>
      </c>
      <c r="G23" s="29" t="n">
        <f aca="false">G6*Supuestos!$B$34</f>
        <v>120228.571428571</v>
      </c>
      <c r="H23" s="29" t="n">
        <f aca="false">H6*Supuestos!$B$34</f>
        <v>120228.571428571</v>
      </c>
      <c r="I23" s="29" t="n">
        <f aca="false">I6*Supuestos!$B$34</f>
        <v>120228.571428571</v>
      </c>
      <c r="J23" s="29" t="n">
        <f aca="false">J6*Supuestos!$B$34</f>
        <v>120228.571428571</v>
      </c>
      <c r="K23" s="29" t="n">
        <f aca="false">K6*Supuestos!$B$34</f>
        <v>120228.571428571</v>
      </c>
      <c r="L23" s="29" t="n">
        <f aca="false">L6*Supuestos!$B$34</f>
        <v>120228.571428571</v>
      </c>
      <c r="M23" s="29" t="n">
        <f aca="false">M6*Supuestos!$B$34</f>
        <v>120228.571428571</v>
      </c>
      <c r="N23" s="29" t="n">
        <f aca="false">N6*Supuestos!$B$34</f>
        <v>120228.571428571</v>
      </c>
      <c r="O23" s="29" t="n">
        <f aca="false">O6*Supuestos!$B$34</f>
        <v>120228.571428571</v>
      </c>
      <c r="P23" s="29" t="n">
        <f aca="false">P6*Supuestos!$B$34</f>
        <v>120228.571428571</v>
      </c>
      <c r="Q23" s="29" t="n">
        <f aca="false">Q6*Supuestos!$B$34</f>
        <v>120228.571428571</v>
      </c>
      <c r="R23" s="29" t="n">
        <f aca="false">R6*Supuestos!$B$34</f>
        <v>120228.571428571</v>
      </c>
      <c r="S23" s="29" t="n">
        <f aca="false">S6*Supuestos!$B$34</f>
        <v>120228.571428571</v>
      </c>
      <c r="T23" s="29" t="n">
        <f aca="false">T6*Supuestos!$B$34</f>
        <v>120228.571428571</v>
      </c>
      <c r="U23" s="29" t="n">
        <f aca="false">U6*Supuestos!$B$34</f>
        <v>120228.571428571</v>
      </c>
      <c r="V23" s="29" t="n">
        <f aca="false">V6*Supuestos!$B$34</f>
        <v>120228.571428571</v>
      </c>
      <c r="W23" s="29" t="n">
        <f aca="false">W6*Supuestos!$B$34</f>
        <v>120228.571428571</v>
      </c>
      <c r="X23" s="29" t="n">
        <f aca="false">X6*Supuestos!$B$34</f>
        <v>120228.571428571</v>
      </c>
      <c r="Y23" s="29" t="n">
        <f aca="false">Y6*Supuestos!$B$34</f>
        <v>120228.571428571</v>
      </c>
      <c r="Z23" s="30" t="n">
        <f aca="false">SUM(B23:Y23)</f>
        <v>2837394.28571429</v>
      </c>
    </row>
    <row r="24" customFormat="false" ht="15" hidden="false" customHeight="false" outlineLevel="0" collapsed="false">
      <c r="A24" s="4" t="s">
        <v>158</v>
      </c>
      <c r="B24" s="29" t="n">
        <f aca="false">B10*Supuestos!$B$17</f>
        <v>38400</v>
      </c>
      <c r="C24" s="29" t="n">
        <f aca="false">C10*Supuestos!$B$17</f>
        <v>64000</v>
      </c>
      <c r="D24" s="29" t="n">
        <f aca="false">D10*Supuestos!$B$17</f>
        <v>64000</v>
      </c>
      <c r="E24" s="29" t="n">
        <f aca="false">E10*Supuestos!$B$17</f>
        <v>64000</v>
      </c>
      <c r="F24" s="29" t="n">
        <f aca="false">F10*Supuestos!$B$17</f>
        <v>64000</v>
      </c>
      <c r="G24" s="29" t="n">
        <f aca="false">G10*Supuestos!$B$17</f>
        <v>64000</v>
      </c>
      <c r="H24" s="29" t="n">
        <f aca="false">H10*Supuestos!$B$17</f>
        <v>64000</v>
      </c>
      <c r="I24" s="29" t="n">
        <f aca="false">I10*Supuestos!$B$17</f>
        <v>64000</v>
      </c>
      <c r="J24" s="29" t="n">
        <f aca="false">J10*Supuestos!$B$17</f>
        <v>64000</v>
      </c>
      <c r="K24" s="29" t="n">
        <f aca="false">K10*Supuestos!$B$17</f>
        <v>64000</v>
      </c>
      <c r="L24" s="29" t="n">
        <f aca="false">L10*Supuestos!$B$17</f>
        <v>64000</v>
      </c>
      <c r="M24" s="29" t="n">
        <f aca="false">M10*Supuestos!$B$17</f>
        <v>64000</v>
      </c>
      <c r="N24" s="29" t="n">
        <f aca="false">N10*Supuestos!$B$17</f>
        <v>64000</v>
      </c>
      <c r="O24" s="29" t="n">
        <f aca="false">O10*Supuestos!$B$17</f>
        <v>64000</v>
      </c>
      <c r="P24" s="29" t="n">
        <f aca="false">P10*Supuestos!$B$17</f>
        <v>64000</v>
      </c>
      <c r="Q24" s="29" t="n">
        <f aca="false">Q10*Supuestos!$B$17</f>
        <v>64000</v>
      </c>
      <c r="R24" s="29" t="n">
        <f aca="false">R10*Supuestos!$B$17</f>
        <v>64000</v>
      </c>
      <c r="S24" s="29" t="n">
        <f aca="false">S10*Supuestos!$B$17</f>
        <v>64000</v>
      </c>
      <c r="T24" s="29" t="n">
        <f aca="false">T10*Supuestos!$B$17</f>
        <v>64000</v>
      </c>
      <c r="U24" s="29" t="n">
        <f aca="false">U10*Supuestos!$B$17</f>
        <v>64000</v>
      </c>
      <c r="V24" s="29" t="n">
        <f aca="false">V10*Supuestos!$B$17</f>
        <v>64000</v>
      </c>
      <c r="W24" s="29" t="n">
        <f aca="false">W10*Supuestos!$B$17</f>
        <v>64000</v>
      </c>
      <c r="X24" s="29" t="n">
        <f aca="false">X10*Supuestos!$B$17</f>
        <v>64000</v>
      </c>
      <c r="Y24" s="29" t="n">
        <f aca="false">Y10*Supuestos!$B$17</f>
        <v>64000</v>
      </c>
      <c r="Z24" s="30" t="n">
        <f aca="false">SUM(B24:Y24)</f>
        <v>1510400</v>
      </c>
    </row>
    <row r="25" customFormat="false" ht="15" hidden="false" customHeight="false" outlineLevel="0" collapsed="false">
      <c r="A25" s="4" t="s">
        <v>159</v>
      </c>
      <c r="B25" s="29" t="n">
        <f aca="false">Supuestos!$B$18</f>
        <v>8000</v>
      </c>
      <c r="C25" s="29" t="n">
        <f aca="false">Supuestos!$B$18</f>
        <v>8000</v>
      </c>
      <c r="D25" s="29" t="n">
        <f aca="false">Supuestos!$B$18</f>
        <v>8000</v>
      </c>
      <c r="E25" s="29" t="n">
        <f aca="false">Supuestos!$B$18</f>
        <v>8000</v>
      </c>
      <c r="F25" s="29" t="n">
        <f aca="false">Supuestos!$B$18</f>
        <v>8000</v>
      </c>
      <c r="G25" s="29" t="n">
        <f aca="false">Supuestos!$B$18</f>
        <v>8000</v>
      </c>
      <c r="H25" s="29" t="n">
        <f aca="false">Supuestos!$B$18</f>
        <v>8000</v>
      </c>
      <c r="I25" s="29" t="n">
        <f aca="false">Supuestos!$B$18</f>
        <v>8000</v>
      </c>
      <c r="J25" s="29" t="n">
        <f aca="false">Supuestos!$B$18</f>
        <v>8000</v>
      </c>
      <c r="K25" s="29" t="n">
        <f aca="false">Supuestos!$B$18</f>
        <v>8000</v>
      </c>
      <c r="L25" s="29" t="n">
        <f aca="false">Supuestos!$B$18</f>
        <v>8000</v>
      </c>
      <c r="M25" s="29" t="n">
        <f aca="false">Supuestos!$B$18</f>
        <v>8000</v>
      </c>
      <c r="N25" s="29" t="n">
        <f aca="false">Supuestos!$B$18</f>
        <v>8000</v>
      </c>
      <c r="O25" s="29" t="n">
        <f aca="false">Supuestos!$B$18</f>
        <v>8000</v>
      </c>
      <c r="P25" s="29" t="n">
        <f aca="false">Supuestos!$B$18</f>
        <v>8000</v>
      </c>
      <c r="Q25" s="29" t="n">
        <f aca="false">Supuestos!$B$18</f>
        <v>8000</v>
      </c>
      <c r="R25" s="29" t="n">
        <f aca="false">Supuestos!$B$18</f>
        <v>8000</v>
      </c>
      <c r="S25" s="29" t="n">
        <f aca="false">Supuestos!$B$18</f>
        <v>8000</v>
      </c>
      <c r="T25" s="29" t="n">
        <f aca="false">Supuestos!$B$18</f>
        <v>8000</v>
      </c>
      <c r="U25" s="29" t="n">
        <f aca="false">Supuestos!$B$18</f>
        <v>8000</v>
      </c>
      <c r="V25" s="29" t="n">
        <f aca="false">Supuestos!$B$18</f>
        <v>8000</v>
      </c>
      <c r="W25" s="29" t="n">
        <f aca="false">Supuestos!$B$18</f>
        <v>8000</v>
      </c>
      <c r="X25" s="29" t="n">
        <f aca="false">Supuestos!$B$18</f>
        <v>8000</v>
      </c>
      <c r="Y25" s="29" t="n">
        <f aca="false">Supuestos!$B$18</f>
        <v>8000</v>
      </c>
      <c r="Z25" s="30" t="n">
        <f aca="false">SUM(B25:Y25)</f>
        <v>192000</v>
      </c>
    </row>
    <row r="26" customFormat="false" ht="15" hidden="false" customHeight="false" outlineLevel="0" collapsed="false">
      <c r="A26" s="12" t="s">
        <v>160</v>
      </c>
      <c r="B26" s="31" t="n">
        <f aca="false">B21+B22+B23+B24+B25</f>
        <v>306680</v>
      </c>
      <c r="C26" s="31" t="n">
        <f aca="false">C21+C22+C23+C24+C25</f>
        <v>260800</v>
      </c>
      <c r="D26" s="31" t="n">
        <f aca="false">D21+D22+D23+D24+D25</f>
        <v>407800</v>
      </c>
      <c r="E26" s="31" t="n">
        <f aca="false">E21+E22+E23+E24+E25</f>
        <v>260800</v>
      </c>
      <c r="F26" s="31" t="n">
        <f aca="false">F21+F22+F23+F24+F25</f>
        <v>407800</v>
      </c>
      <c r="G26" s="31" t="n">
        <f aca="false">G21+G22+G23+G24+G25</f>
        <v>260800</v>
      </c>
      <c r="H26" s="31" t="n">
        <f aca="false">H21+H22+H23+H24+H25</f>
        <v>407800</v>
      </c>
      <c r="I26" s="31" t="n">
        <f aca="false">I21+I22+I23+I24+I25</f>
        <v>260800</v>
      </c>
      <c r="J26" s="31" t="n">
        <f aca="false">J21+J22+J23+J24+J25</f>
        <v>260800</v>
      </c>
      <c r="K26" s="31" t="n">
        <f aca="false">K21+K22+K23+K24+K25</f>
        <v>407800</v>
      </c>
      <c r="L26" s="31" t="n">
        <f aca="false">L21+L22+L23+L24+L25</f>
        <v>260800</v>
      </c>
      <c r="M26" s="31" t="n">
        <f aca="false">M21+M22+M23+M24+M25</f>
        <v>407800</v>
      </c>
      <c r="N26" s="31" t="n">
        <f aca="false">N21+N22+N23+N24+N25</f>
        <v>260800</v>
      </c>
      <c r="O26" s="31" t="n">
        <f aca="false">O21+O22+O23+O24+O25</f>
        <v>407800</v>
      </c>
      <c r="P26" s="31" t="n">
        <f aca="false">P21+P22+P23+P24+P25</f>
        <v>260800</v>
      </c>
      <c r="Q26" s="31" t="n">
        <f aca="false">Q21+Q22+Q23+Q24+Q25</f>
        <v>281800</v>
      </c>
      <c r="R26" s="31" t="n">
        <f aca="false">R21+R22+R23+R24+R25</f>
        <v>260800</v>
      </c>
      <c r="S26" s="31" t="n">
        <f aca="false">S21+S22+S23+S24+S25</f>
        <v>260800</v>
      </c>
      <c r="T26" s="31" t="n">
        <f aca="false">T21+T22+T23+T24+T25</f>
        <v>260800</v>
      </c>
      <c r="U26" s="31" t="n">
        <f aca="false">U21+U22+U23+U24+U25</f>
        <v>260800</v>
      </c>
      <c r="V26" s="31" t="n">
        <f aca="false">V21+V22+V23+V24+V25</f>
        <v>260800</v>
      </c>
      <c r="W26" s="31" t="n">
        <f aca="false">W21+W22+W23+W24+W25</f>
        <v>260800</v>
      </c>
      <c r="X26" s="31" t="n">
        <f aca="false">X21+X22+X23+X24+X25</f>
        <v>260800</v>
      </c>
      <c r="Y26" s="31" t="n">
        <f aca="false">Y21+Y22+Y23+Y24+Y25</f>
        <v>260800</v>
      </c>
      <c r="Z26" s="30" t="n">
        <f aca="false">SUM(B26:Y26)</f>
        <v>7208080</v>
      </c>
    </row>
    <row r="27" customFormat="false" ht="15" hidden="false" customHeight="false" outlineLevel="0" collapsed="false">
      <c r="A27" s="10" t="s">
        <v>161</v>
      </c>
    </row>
    <row r="28" customFormat="false" ht="15" hidden="false" customHeight="false" outlineLevel="0" collapsed="false">
      <c r="A28" s="12" t="s">
        <v>162</v>
      </c>
      <c r="B28" s="31" t="n">
        <f aca="false">B18-B26</f>
        <v>-181880</v>
      </c>
      <c r="C28" s="31" t="n">
        <f aca="false">C18-C26</f>
        <v>105600</v>
      </c>
      <c r="D28" s="31" t="n">
        <f aca="false">D18-D26</f>
        <v>64200</v>
      </c>
      <c r="E28" s="31" t="n">
        <f aca="false">E18-E26</f>
        <v>211200</v>
      </c>
      <c r="F28" s="31" t="n">
        <f aca="false">F18-F26</f>
        <v>64200</v>
      </c>
      <c r="G28" s="31" t="n">
        <f aca="false">G18-G26</f>
        <v>211200</v>
      </c>
      <c r="H28" s="31" t="n">
        <f aca="false">H18-H26</f>
        <v>64200</v>
      </c>
      <c r="I28" s="31" t="n">
        <f aca="false">I18-I26</f>
        <v>211200</v>
      </c>
      <c r="J28" s="31" t="n">
        <f aca="false">J18-J26</f>
        <v>211200</v>
      </c>
      <c r="K28" s="31" t="n">
        <f aca="false">K18-K26</f>
        <v>64200</v>
      </c>
      <c r="L28" s="31" t="n">
        <f aca="false">L18-L26</f>
        <v>211200</v>
      </c>
      <c r="M28" s="31" t="n">
        <f aca="false">M18-M26</f>
        <v>64200</v>
      </c>
      <c r="N28" s="31" t="n">
        <f aca="false">N18-N26</f>
        <v>211200</v>
      </c>
      <c r="O28" s="31" t="n">
        <f aca="false">O18-O26</f>
        <v>64200</v>
      </c>
      <c r="P28" s="31" t="n">
        <f aca="false">P18-P26</f>
        <v>211200</v>
      </c>
      <c r="Q28" s="31" t="n">
        <f aca="false">Q18-Q26</f>
        <v>190200</v>
      </c>
      <c r="R28" s="31" t="n">
        <f aca="false">R18-R26</f>
        <v>211200</v>
      </c>
      <c r="S28" s="31" t="n">
        <f aca="false">S18-S26</f>
        <v>211200</v>
      </c>
      <c r="T28" s="31" t="n">
        <f aca="false">T18-T26</f>
        <v>211200</v>
      </c>
      <c r="U28" s="31" t="n">
        <f aca="false">U18-U26</f>
        <v>211200</v>
      </c>
      <c r="V28" s="31" t="n">
        <f aca="false">V18-V26</f>
        <v>211200</v>
      </c>
      <c r="W28" s="31" t="n">
        <f aca="false">W18-W26</f>
        <v>211200</v>
      </c>
      <c r="X28" s="31" t="n">
        <f aca="false">X18-X26</f>
        <v>211200</v>
      </c>
      <c r="Y28" s="31" t="n">
        <f aca="false">Y18-Y26</f>
        <v>211200</v>
      </c>
      <c r="Z28" s="30" t="n">
        <f aca="false">SUM(B28:Y28)</f>
        <v>3667120</v>
      </c>
    </row>
    <row r="29" customFormat="false" ht="15" hidden="false" customHeight="false" outlineLevel="0" collapsed="false">
      <c r="A29" s="4" t="s">
        <v>163</v>
      </c>
      <c r="B29" s="29" t="n">
        <f aca="false">SUM($B$28:B$28)</f>
        <v>-181880</v>
      </c>
      <c r="C29" s="29" t="n">
        <f aca="false">SUM($B$28:C$28)</f>
        <v>-76280</v>
      </c>
      <c r="D29" s="29" t="n">
        <f aca="false">SUM($B$28:D$28)</f>
        <v>-12080</v>
      </c>
      <c r="E29" s="29" t="n">
        <f aca="false">SUM($B$28:E$28)</f>
        <v>199120</v>
      </c>
      <c r="F29" s="29" t="n">
        <f aca="false">SUM($B$28:F$28)</f>
        <v>263320</v>
      </c>
      <c r="G29" s="29" t="n">
        <f aca="false">SUM($B$28:G$28)</f>
        <v>474520</v>
      </c>
      <c r="H29" s="29" t="n">
        <f aca="false">SUM($B$28:H$28)</f>
        <v>538720</v>
      </c>
      <c r="I29" s="29" t="n">
        <f aca="false">SUM($B$28:I$28)</f>
        <v>749920</v>
      </c>
      <c r="J29" s="29" t="n">
        <f aca="false">SUM($B$28:J$28)</f>
        <v>961120</v>
      </c>
      <c r="K29" s="29" t="n">
        <f aca="false">SUM($B$28:K$28)</f>
        <v>1025320</v>
      </c>
      <c r="L29" s="29" t="n">
        <f aca="false">SUM($B$28:L$28)</f>
        <v>1236520</v>
      </c>
      <c r="M29" s="29" t="n">
        <f aca="false">SUM($B$28:M$28)</f>
        <v>1300720</v>
      </c>
      <c r="N29" s="29" t="n">
        <f aca="false">SUM($B$28:N$28)</f>
        <v>1511920</v>
      </c>
      <c r="O29" s="29" t="n">
        <f aca="false">SUM($B$28:O$28)</f>
        <v>1576120</v>
      </c>
      <c r="P29" s="29" t="n">
        <f aca="false">SUM($B$28:P$28)</f>
        <v>1787320</v>
      </c>
      <c r="Q29" s="29" t="n">
        <f aca="false">SUM($B$28:Q$28)</f>
        <v>1977520</v>
      </c>
      <c r="R29" s="29" t="n">
        <f aca="false">SUM($B$28:R$28)</f>
        <v>2188720</v>
      </c>
      <c r="S29" s="29" t="n">
        <f aca="false">SUM($B$28:S$28)</f>
        <v>2399920</v>
      </c>
      <c r="T29" s="29" t="n">
        <f aca="false">SUM($B$28:T$28)</f>
        <v>2611120</v>
      </c>
      <c r="U29" s="29" t="n">
        <f aca="false">SUM($B$28:U$28)</f>
        <v>2822320</v>
      </c>
      <c r="V29" s="29" t="n">
        <f aca="false">SUM($B$28:V$28)</f>
        <v>3033520</v>
      </c>
      <c r="W29" s="29" t="n">
        <f aca="false">SUM($B$28:W$28)</f>
        <v>3244720</v>
      </c>
      <c r="X29" s="29" t="n">
        <f aca="false">SUM($B$28:X$28)</f>
        <v>3455920</v>
      </c>
      <c r="Y29" s="29" t="n">
        <f aca="false">SUM($B$28:Y$28)</f>
        <v>3667120</v>
      </c>
    </row>
    <row r="30" customFormat="false" ht="15" hidden="false" customHeight="false" outlineLevel="0" collapsed="false">
      <c r="A30" s="10" t="s">
        <v>164</v>
      </c>
    </row>
    <row r="31" customFormat="false" ht="15" hidden="false" customHeight="false" outlineLevel="0" collapsed="false">
      <c r="A31" s="4" t="s">
        <v>165</v>
      </c>
      <c r="B31" s="29" t="n">
        <f aca="false">MIN(B7,MAX(0,Supuestos!$B$11-0))*Supuestos!$B$14</f>
        <v>40320</v>
      </c>
      <c r="C31" s="29" t="n">
        <f aca="false">MIN(C7,MAX(0,Supuestos!$B$11-B8))*Supuestos!$B$14</f>
        <v>67200</v>
      </c>
      <c r="D31" s="29" t="n">
        <f aca="false">MIN(D7,MAX(0,Supuestos!$B$11-C8))*Supuestos!$B$14</f>
        <v>67200</v>
      </c>
      <c r="E31" s="29" t="n">
        <f aca="false">MIN(E7,MAX(0,Supuestos!$B$11-D8))*Supuestos!$B$14</f>
        <v>67200</v>
      </c>
      <c r="F31" s="29" t="n">
        <f aca="false">MIN(F7,MAX(0,Supuestos!$B$11-E8))*Supuestos!$B$14</f>
        <v>67200</v>
      </c>
      <c r="G31" s="29" t="n">
        <f aca="false">MIN(G7,MAX(0,Supuestos!$B$11-F8))*Supuestos!$B$14</f>
        <v>67200</v>
      </c>
      <c r="H31" s="29" t="n">
        <f aca="false">MIN(H7,MAX(0,Supuestos!$B$11-G8))*Supuestos!$B$14</f>
        <v>67200</v>
      </c>
      <c r="I31" s="29" t="n">
        <f aca="false">MIN(I7,MAX(0,Supuestos!$B$11-H8))*Supuestos!$B$14</f>
        <v>67200</v>
      </c>
      <c r="J31" s="29" t="n">
        <f aca="false">MIN(J7,MAX(0,Supuestos!$B$11-I8))*Supuestos!$B$14</f>
        <v>67200</v>
      </c>
      <c r="K31" s="29" t="n">
        <f aca="false">MIN(K7,MAX(0,Supuestos!$B$11-J8))*Supuestos!$B$14</f>
        <v>67200</v>
      </c>
      <c r="L31" s="29" t="n">
        <f aca="false">MIN(L7,MAX(0,Supuestos!$B$11-K8))*Supuestos!$B$14</f>
        <v>67200</v>
      </c>
      <c r="M31" s="29" t="n">
        <f aca="false">MIN(M7,MAX(0,Supuestos!$B$11-L8))*Supuestos!$B$14</f>
        <v>67200</v>
      </c>
      <c r="N31" s="29" t="n">
        <f aca="false">MIN(N7,MAX(0,Supuestos!$B$11-M8))*Supuestos!$B$14</f>
        <v>67200</v>
      </c>
      <c r="O31" s="29" t="n">
        <f aca="false">MIN(O7,MAX(0,Supuestos!$B$11-N8))*Supuestos!$B$14</f>
        <v>67200</v>
      </c>
      <c r="P31" s="29" t="n">
        <f aca="false">MIN(P7,MAX(0,Supuestos!$B$11-O8))*Supuestos!$B$14</f>
        <v>67200</v>
      </c>
      <c r="Q31" s="29" t="n">
        <f aca="false">MIN(Q7,MAX(0,Supuestos!$B$11-P8))*Supuestos!$B$14</f>
        <v>67200</v>
      </c>
      <c r="R31" s="29" t="n">
        <f aca="false">MIN(R7,MAX(0,Supuestos!$B$11-Q8))*Supuestos!$B$14</f>
        <v>1680</v>
      </c>
      <c r="S31" s="29" t="n">
        <f aca="false">MIN(S7,MAX(0,Supuestos!$B$11-R8))*Supuestos!$B$14</f>
        <v>0</v>
      </c>
      <c r="T31" s="29" t="n">
        <f aca="false">MIN(T7,MAX(0,Supuestos!$B$11-S8))*Supuestos!$B$14</f>
        <v>0</v>
      </c>
      <c r="U31" s="29" t="n">
        <f aca="false">MIN(U7,MAX(0,Supuestos!$B$11-T8))*Supuestos!$B$14</f>
        <v>0</v>
      </c>
      <c r="V31" s="29" t="n">
        <f aca="false">MIN(V7,MAX(0,Supuestos!$B$11-U8))*Supuestos!$B$14</f>
        <v>0</v>
      </c>
      <c r="W31" s="29" t="n">
        <f aca="false">MIN(W7,MAX(0,Supuestos!$B$11-V8))*Supuestos!$B$14</f>
        <v>0</v>
      </c>
      <c r="X31" s="29" t="n">
        <f aca="false">MIN(X7,MAX(0,Supuestos!$B$11-W8))*Supuestos!$B$14</f>
        <v>0</v>
      </c>
      <c r="Y31" s="29" t="n">
        <f aca="false">MIN(Y7,MAX(0,Supuestos!$B$11-X8))*Supuestos!$B$14</f>
        <v>0</v>
      </c>
      <c r="Z31" s="30" t="n">
        <f aca="false">SUM(B31:Y31)</f>
        <v>1050000</v>
      </c>
    </row>
    <row r="32" customFormat="false" ht="15" hidden="false" customHeight="false" outlineLevel="0" collapsed="false">
      <c r="A32" s="4" t="s">
        <v>166</v>
      </c>
      <c r="B32" s="29" t="n">
        <f aca="false">B31+B22+B23+B24+B25</f>
        <v>200000</v>
      </c>
      <c r="C32" s="29" t="n">
        <f aca="false">C31+C22+C23+C24+C25</f>
        <v>328000</v>
      </c>
      <c r="D32" s="29" t="n">
        <f aca="false">D31+D22+D23+D24+D25</f>
        <v>328000</v>
      </c>
      <c r="E32" s="29" t="n">
        <f aca="false">E31+E22+E23+E24+E25</f>
        <v>328000</v>
      </c>
      <c r="F32" s="29" t="n">
        <f aca="false">F31+F22+F23+F24+F25</f>
        <v>328000</v>
      </c>
      <c r="G32" s="29" t="n">
        <f aca="false">G31+G22+G23+G24+G25</f>
        <v>328000</v>
      </c>
      <c r="H32" s="29" t="n">
        <f aca="false">H31+H22+H23+H24+H25</f>
        <v>328000</v>
      </c>
      <c r="I32" s="29" t="n">
        <f aca="false">I31+I22+I23+I24+I25</f>
        <v>328000</v>
      </c>
      <c r="J32" s="29" t="n">
        <f aca="false">J31+J22+J23+J24+J25</f>
        <v>328000</v>
      </c>
      <c r="K32" s="29" t="n">
        <f aca="false">K31+K22+K23+K24+K25</f>
        <v>328000</v>
      </c>
      <c r="L32" s="29" t="n">
        <f aca="false">L31+L22+L23+L24+L25</f>
        <v>328000</v>
      </c>
      <c r="M32" s="29" t="n">
        <f aca="false">M31+M22+M23+M24+M25</f>
        <v>328000</v>
      </c>
      <c r="N32" s="29" t="n">
        <f aca="false">N31+N22+N23+N24+N25</f>
        <v>328000</v>
      </c>
      <c r="O32" s="29" t="n">
        <f aca="false">O31+O22+O23+O24+O25</f>
        <v>328000</v>
      </c>
      <c r="P32" s="29" t="n">
        <f aca="false">P31+P22+P23+P24+P25</f>
        <v>328000</v>
      </c>
      <c r="Q32" s="29" t="n">
        <f aca="false">Q31+Q22+Q23+Q24+Q25</f>
        <v>328000</v>
      </c>
      <c r="R32" s="29" t="n">
        <f aca="false">R31+R22+R23+R24+R25</f>
        <v>262480</v>
      </c>
      <c r="S32" s="29" t="n">
        <f aca="false">S31+S22+S23+S24+S25</f>
        <v>260800</v>
      </c>
      <c r="T32" s="29" t="n">
        <f aca="false">T31+T22+T23+T24+T25</f>
        <v>260800</v>
      </c>
      <c r="U32" s="29" t="n">
        <f aca="false">U31+U22+U23+U24+U25</f>
        <v>260800</v>
      </c>
      <c r="V32" s="29" t="n">
        <f aca="false">V31+V22+V23+V24+V25</f>
        <v>260800</v>
      </c>
      <c r="W32" s="29" t="n">
        <f aca="false">W31+W22+W23+W24+W25</f>
        <v>260800</v>
      </c>
      <c r="X32" s="29" t="n">
        <f aca="false">X31+X22+X23+X24+X25</f>
        <v>260800</v>
      </c>
      <c r="Y32" s="29" t="n">
        <f aca="false">Y31+Y22+Y23+Y24+Y25</f>
        <v>260800</v>
      </c>
      <c r="Z32" s="30" t="n">
        <f aca="false">SUM(B32:Y32)</f>
        <v>7208080</v>
      </c>
    </row>
    <row r="33" customFormat="false" ht="15" hidden="false" customHeight="false" outlineLevel="0" collapsed="false">
      <c r="A33" s="12" t="s">
        <v>167</v>
      </c>
      <c r="B33" s="31" t="n">
        <f aca="false">B14-B32</f>
        <v>83200</v>
      </c>
      <c r="C33" s="31" t="n">
        <f aca="false">C14-C32</f>
        <v>144000</v>
      </c>
      <c r="D33" s="31" t="n">
        <f aca="false">D14-D32</f>
        <v>144000</v>
      </c>
      <c r="E33" s="31" t="n">
        <f aca="false">E14-E32</f>
        <v>144000</v>
      </c>
      <c r="F33" s="31" t="n">
        <f aca="false">F14-F32</f>
        <v>144000</v>
      </c>
      <c r="G33" s="31" t="n">
        <f aca="false">G14-G32</f>
        <v>144000</v>
      </c>
      <c r="H33" s="31" t="n">
        <f aca="false">H14-H32</f>
        <v>144000</v>
      </c>
      <c r="I33" s="31" t="n">
        <f aca="false">I14-I32</f>
        <v>144000</v>
      </c>
      <c r="J33" s="31" t="n">
        <f aca="false">J14-J32</f>
        <v>144000</v>
      </c>
      <c r="K33" s="31" t="n">
        <f aca="false">K14-K32</f>
        <v>144000</v>
      </c>
      <c r="L33" s="31" t="n">
        <f aca="false">L14-L32</f>
        <v>144000</v>
      </c>
      <c r="M33" s="31" t="n">
        <f aca="false">M14-M32</f>
        <v>144000</v>
      </c>
      <c r="N33" s="31" t="n">
        <f aca="false">N14-N32</f>
        <v>144000</v>
      </c>
      <c r="O33" s="31" t="n">
        <f aca="false">O14-O32</f>
        <v>144000</v>
      </c>
      <c r="P33" s="31" t="n">
        <f aca="false">P14-P32</f>
        <v>144000</v>
      </c>
      <c r="Q33" s="31" t="n">
        <f aca="false">Q14-Q32</f>
        <v>144000</v>
      </c>
      <c r="R33" s="31" t="n">
        <f aca="false">R14-R32</f>
        <v>209520</v>
      </c>
      <c r="S33" s="31" t="n">
        <f aca="false">S14-S32</f>
        <v>211200</v>
      </c>
      <c r="T33" s="31" t="n">
        <f aca="false">T14-T32</f>
        <v>211200</v>
      </c>
      <c r="U33" s="31" t="n">
        <f aca="false">U14-U32</f>
        <v>211200</v>
      </c>
      <c r="V33" s="31" t="n">
        <f aca="false">V14-V32</f>
        <v>211200</v>
      </c>
      <c r="W33" s="31" t="n">
        <f aca="false">W14-W32</f>
        <v>211200</v>
      </c>
      <c r="X33" s="31" t="n">
        <f aca="false">X14-X32</f>
        <v>211200</v>
      </c>
      <c r="Y33" s="31" t="n">
        <f aca="false">Y14-Y32</f>
        <v>211200</v>
      </c>
      <c r="Z33" s="30" t="n">
        <f aca="false">SUM(B33:Y33)</f>
        <v>3931120</v>
      </c>
    </row>
    <row r="34" customFormat="false" ht="15" hidden="false" customHeight="false" outlineLevel="0" collapsed="false">
      <c r="A34" s="4" t="s">
        <v>168</v>
      </c>
      <c r="B34" s="29" t="n">
        <f aca="false">SUM($B$33:B$33)</f>
        <v>83200</v>
      </c>
      <c r="C34" s="29" t="n">
        <f aca="false">SUM($B$33:C$33)</f>
        <v>227200</v>
      </c>
      <c r="D34" s="29" t="n">
        <f aca="false">SUM($B$33:D$33)</f>
        <v>371200</v>
      </c>
      <c r="E34" s="29" t="n">
        <f aca="false">SUM($B$33:E$33)</f>
        <v>515200</v>
      </c>
      <c r="F34" s="29" t="n">
        <f aca="false">SUM($B$33:F$33)</f>
        <v>659200</v>
      </c>
      <c r="G34" s="29" t="n">
        <f aca="false">SUM($B$33:G$33)</f>
        <v>803200</v>
      </c>
      <c r="H34" s="29" t="n">
        <f aca="false">SUM($B$33:H$33)</f>
        <v>947200</v>
      </c>
      <c r="I34" s="29" t="n">
        <f aca="false">SUM($B$33:I$33)</f>
        <v>1091200</v>
      </c>
      <c r="J34" s="29" t="n">
        <f aca="false">SUM($B$33:J$33)</f>
        <v>1235200</v>
      </c>
      <c r="K34" s="29" t="n">
        <f aca="false">SUM($B$33:K$33)</f>
        <v>1379200</v>
      </c>
      <c r="L34" s="29" t="n">
        <f aca="false">SUM($B$33:L$33)</f>
        <v>1523200</v>
      </c>
      <c r="M34" s="29" t="n">
        <f aca="false">SUM($B$33:M$33)</f>
        <v>1667200</v>
      </c>
      <c r="N34" s="29" t="n">
        <f aca="false">SUM($B$33:N$33)</f>
        <v>1811200</v>
      </c>
      <c r="O34" s="29" t="n">
        <f aca="false">SUM($B$33:O$33)</f>
        <v>1955200</v>
      </c>
      <c r="P34" s="29" t="n">
        <f aca="false">SUM($B$33:P$33)</f>
        <v>2099200</v>
      </c>
      <c r="Q34" s="29" t="n">
        <f aca="false">SUM($B$33:Q$33)</f>
        <v>2243200</v>
      </c>
      <c r="R34" s="29" t="n">
        <f aca="false">SUM($B$33:R$33)</f>
        <v>2452720</v>
      </c>
      <c r="S34" s="29" t="n">
        <f aca="false">SUM($B$33:S$33)</f>
        <v>2663920</v>
      </c>
      <c r="T34" s="29" t="n">
        <f aca="false">SUM($B$33:T$33)</f>
        <v>2875120</v>
      </c>
      <c r="U34" s="29" t="n">
        <f aca="false">SUM($B$33:U$33)</f>
        <v>3086320</v>
      </c>
      <c r="V34" s="29" t="n">
        <f aca="false">SUM($B$33:V$33)</f>
        <v>3297520</v>
      </c>
      <c r="W34" s="29" t="n">
        <f aca="false">SUM($B$33:W$33)</f>
        <v>3508720</v>
      </c>
      <c r="X34" s="29" t="n">
        <f aca="false">SUM($B$33:X$33)</f>
        <v>3719920</v>
      </c>
      <c r="Y34" s="29" t="n">
        <f aca="false">SUM($B$33:Y$33)</f>
        <v>3931120</v>
      </c>
    </row>
    <row r="35" customFormat="false" ht="15" hidden="false" customHeight="false" outlineLevel="0" collapsed="false">
      <c r="A35" s="10" t="s">
        <v>79</v>
      </c>
    </row>
    <row r="36" customFormat="false" ht="15" hidden="false" customHeight="false" outlineLevel="0" collapsed="false">
      <c r="A36" s="4" t="s">
        <v>169</v>
      </c>
      <c r="B36" s="29" t="n">
        <f aca="false">Supuestos!$B$25</f>
        <v>450000</v>
      </c>
      <c r="C36" s="29" t="n">
        <f aca="false">0</f>
        <v>0</v>
      </c>
      <c r="D36" s="29" t="n">
        <f aca="false">0</f>
        <v>0</v>
      </c>
      <c r="E36" s="29" t="n">
        <f aca="false">0</f>
        <v>0</v>
      </c>
      <c r="F36" s="29" t="n">
        <f aca="false">0</f>
        <v>0</v>
      </c>
      <c r="G36" s="29" t="n">
        <f aca="false">0</f>
        <v>0</v>
      </c>
      <c r="H36" s="29" t="n">
        <f aca="false">0</f>
        <v>0</v>
      </c>
      <c r="I36" s="29" t="n">
        <f aca="false">0</f>
        <v>0</v>
      </c>
      <c r="J36" s="29" t="n">
        <f aca="false">0</f>
        <v>0</v>
      </c>
      <c r="K36" s="29" t="n">
        <f aca="false">0</f>
        <v>0</v>
      </c>
      <c r="L36" s="29" t="n">
        <f aca="false">0</f>
        <v>0</v>
      </c>
      <c r="M36" s="29" t="n">
        <f aca="false">0</f>
        <v>0</v>
      </c>
      <c r="N36" s="29" t="n">
        <f aca="false">0</f>
        <v>0</v>
      </c>
      <c r="O36" s="29" t="n">
        <f aca="false">0</f>
        <v>0</v>
      </c>
      <c r="P36" s="29" t="n">
        <f aca="false">0</f>
        <v>0</v>
      </c>
      <c r="Q36" s="29" t="n">
        <f aca="false">0</f>
        <v>0</v>
      </c>
      <c r="R36" s="29" t="n">
        <f aca="false">0</f>
        <v>0</v>
      </c>
      <c r="S36" s="29" t="n">
        <f aca="false">0</f>
        <v>0</v>
      </c>
      <c r="T36" s="29" t="n">
        <f aca="false">0</f>
        <v>0</v>
      </c>
      <c r="U36" s="29" t="n">
        <f aca="false">0</f>
        <v>0</v>
      </c>
      <c r="V36" s="29" t="n">
        <f aca="false">0</f>
        <v>0</v>
      </c>
      <c r="W36" s="29" t="n">
        <f aca="false">0</f>
        <v>0</v>
      </c>
      <c r="X36" s="29" t="n">
        <f aca="false">0</f>
        <v>0</v>
      </c>
      <c r="Y36" s="29" t="n">
        <f aca="false">0</f>
        <v>0</v>
      </c>
      <c r="Z36" s="30" t="n">
        <f aca="false">SUM(B36:Y36)</f>
        <v>450000</v>
      </c>
    </row>
    <row r="37" customFormat="false" ht="15" hidden="false" customHeight="false" outlineLevel="0" collapsed="false">
      <c r="A37" s="4" t="s">
        <v>170</v>
      </c>
      <c r="B37" s="29" t="n">
        <f aca="false">B36</f>
        <v>450000</v>
      </c>
      <c r="C37" s="29" t="n">
        <f aca="false">B41+C36</f>
        <v>412500</v>
      </c>
      <c r="D37" s="29" t="n">
        <f aca="false">C41+D36</f>
        <v>375000</v>
      </c>
      <c r="E37" s="29" t="n">
        <f aca="false">D41+E36</f>
        <v>337500</v>
      </c>
      <c r="F37" s="29" t="n">
        <f aca="false">E41+F36</f>
        <v>300000</v>
      </c>
      <c r="G37" s="29" t="n">
        <f aca="false">F41+G36</f>
        <v>262500</v>
      </c>
      <c r="H37" s="29" t="n">
        <f aca="false">G41+H36</f>
        <v>225000</v>
      </c>
      <c r="I37" s="29" t="n">
        <f aca="false">H41+I36</f>
        <v>187500</v>
      </c>
      <c r="J37" s="29" t="n">
        <f aca="false">I41+J36</f>
        <v>150000</v>
      </c>
      <c r="K37" s="29" t="n">
        <f aca="false">J41+K36</f>
        <v>112500</v>
      </c>
      <c r="L37" s="29" t="n">
        <f aca="false">K41+L36</f>
        <v>75000</v>
      </c>
      <c r="M37" s="29" t="n">
        <f aca="false">L41+M36</f>
        <v>37500</v>
      </c>
      <c r="N37" s="29" t="n">
        <f aca="false">M41+N36</f>
        <v>0</v>
      </c>
      <c r="O37" s="29" t="n">
        <f aca="false">N41+O36</f>
        <v>0</v>
      </c>
      <c r="P37" s="29" t="n">
        <f aca="false">O41+P36</f>
        <v>0</v>
      </c>
      <c r="Q37" s="29" t="n">
        <f aca="false">P41+Q36</f>
        <v>0</v>
      </c>
      <c r="R37" s="29" t="n">
        <f aca="false">Q41+R36</f>
        <v>0</v>
      </c>
      <c r="S37" s="29" t="n">
        <f aca="false">R41+S36</f>
        <v>0</v>
      </c>
      <c r="T37" s="29" t="n">
        <f aca="false">S41+T36</f>
        <v>0</v>
      </c>
      <c r="U37" s="29" t="n">
        <f aca="false">T41+U36</f>
        <v>0</v>
      </c>
      <c r="V37" s="29" t="n">
        <f aca="false">U41+V36</f>
        <v>0</v>
      </c>
      <c r="W37" s="29" t="n">
        <f aca="false">V41+W36</f>
        <v>0</v>
      </c>
      <c r="X37" s="29" t="n">
        <f aca="false">W41+X36</f>
        <v>0</v>
      </c>
      <c r="Y37" s="29" t="n">
        <f aca="false">X41+Y36</f>
        <v>0</v>
      </c>
    </row>
    <row r="38" customFormat="false" ht="15" hidden="false" customHeight="false" outlineLevel="0" collapsed="false">
      <c r="A38" s="4" t="s">
        <v>171</v>
      </c>
      <c r="B38" s="29" t="n">
        <f aca="false">B37*Supuestos!$B$26/12</f>
        <v>22500</v>
      </c>
      <c r="C38" s="29" t="n">
        <f aca="false">C37*Supuestos!$B$26/12</f>
        <v>20625</v>
      </c>
      <c r="D38" s="29" t="n">
        <f aca="false">D37*Supuestos!$B$26/12</f>
        <v>18750</v>
      </c>
      <c r="E38" s="29" t="n">
        <f aca="false">E37*Supuestos!$B$26/12</f>
        <v>16875</v>
      </c>
      <c r="F38" s="29" t="n">
        <f aca="false">F37*Supuestos!$B$26/12</f>
        <v>15000</v>
      </c>
      <c r="G38" s="29" t="n">
        <f aca="false">G37*Supuestos!$B$26/12</f>
        <v>13125</v>
      </c>
      <c r="H38" s="29" t="n">
        <f aca="false">H37*Supuestos!$B$26/12</f>
        <v>11250</v>
      </c>
      <c r="I38" s="29" t="n">
        <f aca="false">I37*Supuestos!$B$26/12</f>
        <v>9375</v>
      </c>
      <c r="J38" s="29" t="n">
        <f aca="false">J37*Supuestos!$B$26/12</f>
        <v>7500</v>
      </c>
      <c r="K38" s="29" t="n">
        <f aca="false">K37*Supuestos!$B$26/12</f>
        <v>5625</v>
      </c>
      <c r="L38" s="29" t="n">
        <f aca="false">L37*Supuestos!$B$26/12</f>
        <v>3750</v>
      </c>
      <c r="M38" s="29" t="n">
        <f aca="false">M37*Supuestos!$B$26/12</f>
        <v>1875</v>
      </c>
      <c r="N38" s="29" t="n">
        <f aca="false">N37*Supuestos!$B$26/12</f>
        <v>0</v>
      </c>
      <c r="O38" s="29" t="n">
        <f aca="false">O37*Supuestos!$B$26/12</f>
        <v>0</v>
      </c>
      <c r="P38" s="29" t="n">
        <f aca="false">P37*Supuestos!$B$26/12</f>
        <v>0</v>
      </c>
      <c r="Q38" s="29" t="n">
        <f aca="false">Q37*Supuestos!$B$26/12</f>
        <v>0</v>
      </c>
      <c r="R38" s="29" t="n">
        <f aca="false">R37*Supuestos!$B$26/12</f>
        <v>0</v>
      </c>
      <c r="S38" s="29" t="n">
        <f aca="false">S37*Supuestos!$B$26/12</f>
        <v>0</v>
      </c>
      <c r="T38" s="29" t="n">
        <f aca="false">T37*Supuestos!$B$26/12</f>
        <v>0</v>
      </c>
      <c r="U38" s="29" t="n">
        <f aca="false">U37*Supuestos!$B$26/12</f>
        <v>0</v>
      </c>
      <c r="V38" s="29" t="n">
        <f aca="false">V37*Supuestos!$B$26/12</f>
        <v>0</v>
      </c>
      <c r="W38" s="29" t="n">
        <f aca="false">W37*Supuestos!$B$26/12</f>
        <v>0</v>
      </c>
      <c r="X38" s="29" t="n">
        <f aca="false">X37*Supuestos!$B$26/12</f>
        <v>0</v>
      </c>
      <c r="Y38" s="29" t="n">
        <f aca="false">Y37*Supuestos!$B$26/12</f>
        <v>0</v>
      </c>
      <c r="Z38" s="30" t="n">
        <f aca="false">SUM(B38:Y38)</f>
        <v>146250</v>
      </c>
    </row>
    <row r="39" customFormat="false" ht="15" hidden="false" customHeight="false" outlineLevel="0" collapsed="false">
      <c r="A39" s="4" t="s">
        <v>172</v>
      </c>
      <c r="B39" s="29" t="n">
        <f aca="false">IF(AND(1&gt;Supuestos!$B$28,1&lt;=Supuestos!$B$27),Supuestos!$B$25/(Supuestos!$B$27-Supuestos!$B$28),0)</f>
        <v>37500</v>
      </c>
      <c r="C39" s="29" t="n">
        <f aca="false">IF(AND(2&gt;Supuestos!$B$28,2&lt;=Supuestos!$B$27),Supuestos!$B$25/(Supuestos!$B$27-Supuestos!$B$28),0)</f>
        <v>37500</v>
      </c>
      <c r="D39" s="29" t="n">
        <f aca="false">IF(AND(3&gt;Supuestos!$B$28,3&lt;=Supuestos!$B$27),Supuestos!$B$25/(Supuestos!$B$27-Supuestos!$B$28),0)</f>
        <v>37500</v>
      </c>
      <c r="E39" s="29" t="n">
        <f aca="false">IF(AND(4&gt;Supuestos!$B$28,4&lt;=Supuestos!$B$27),Supuestos!$B$25/(Supuestos!$B$27-Supuestos!$B$28),0)</f>
        <v>37500</v>
      </c>
      <c r="F39" s="29" t="n">
        <f aca="false">IF(AND(5&gt;Supuestos!$B$28,5&lt;=Supuestos!$B$27),Supuestos!$B$25/(Supuestos!$B$27-Supuestos!$B$28),0)</f>
        <v>37500</v>
      </c>
      <c r="G39" s="29" t="n">
        <f aca="false">IF(AND(6&gt;Supuestos!$B$28,6&lt;=Supuestos!$B$27),Supuestos!$B$25/(Supuestos!$B$27-Supuestos!$B$28),0)</f>
        <v>37500</v>
      </c>
      <c r="H39" s="29" t="n">
        <f aca="false">IF(AND(7&gt;Supuestos!$B$28,7&lt;=Supuestos!$B$27),Supuestos!$B$25/(Supuestos!$B$27-Supuestos!$B$28),0)</f>
        <v>37500</v>
      </c>
      <c r="I39" s="29" t="n">
        <f aca="false">IF(AND(8&gt;Supuestos!$B$28,8&lt;=Supuestos!$B$27),Supuestos!$B$25/(Supuestos!$B$27-Supuestos!$B$28),0)</f>
        <v>37500</v>
      </c>
      <c r="J39" s="29" t="n">
        <f aca="false">IF(AND(9&gt;Supuestos!$B$28,9&lt;=Supuestos!$B$27),Supuestos!$B$25/(Supuestos!$B$27-Supuestos!$B$28),0)</f>
        <v>37500</v>
      </c>
      <c r="K39" s="29" t="n">
        <f aca="false">IF(AND(10&gt;Supuestos!$B$28,10&lt;=Supuestos!$B$27),Supuestos!$B$25/(Supuestos!$B$27-Supuestos!$B$28),0)</f>
        <v>37500</v>
      </c>
      <c r="L39" s="29" t="n">
        <f aca="false">IF(AND(11&gt;Supuestos!$B$28,11&lt;=Supuestos!$B$27),Supuestos!$B$25/(Supuestos!$B$27-Supuestos!$B$28),0)</f>
        <v>37500</v>
      </c>
      <c r="M39" s="29" t="n">
        <f aca="false">IF(AND(12&gt;Supuestos!$B$28,12&lt;=Supuestos!$B$27),Supuestos!$B$25/(Supuestos!$B$27-Supuestos!$B$28),0)</f>
        <v>37500</v>
      </c>
      <c r="N39" s="29" t="n">
        <f aca="false">IF(AND(13&gt;Supuestos!$B$28,13&lt;=Supuestos!$B$27),Supuestos!$B$25/(Supuestos!$B$27-Supuestos!$B$28),0)</f>
        <v>0</v>
      </c>
      <c r="O39" s="29" t="n">
        <f aca="false">IF(AND(14&gt;Supuestos!$B$28,14&lt;=Supuestos!$B$27),Supuestos!$B$25/(Supuestos!$B$27-Supuestos!$B$28),0)</f>
        <v>0</v>
      </c>
      <c r="P39" s="29" t="n">
        <f aca="false">IF(AND(15&gt;Supuestos!$B$28,15&lt;=Supuestos!$B$27),Supuestos!$B$25/(Supuestos!$B$27-Supuestos!$B$28),0)</f>
        <v>0</v>
      </c>
      <c r="Q39" s="29" t="n">
        <f aca="false">IF(AND(16&gt;Supuestos!$B$28,16&lt;=Supuestos!$B$27),Supuestos!$B$25/(Supuestos!$B$27-Supuestos!$B$28),0)</f>
        <v>0</v>
      </c>
      <c r="R39" s="29" t="n">
        <f aca="false">IF(AND(17&gt;Supuestos!$B$28,17&lt;=Supuestos!$B$27),Supuestos!$B$25/(Supuestos!$B$27-Supuestos!$B$28),0)</f>
        <v>0</v>
      </c>
      <c r="S39" s="29" t="n">
        <f aca="false">IF(AND(18&gt;Supuestos!$B$28,18&lt;=Supuestos!$B$27),Supuestos!$B$25/(Supuestos!$B$27-Supuestos!$B$28),0)</f>
        <v>0</v>
      </c>
      <c r="T39" s="29" t="n">
        <f aca="false">IF(AND(19&gt;Supuestos!$B$28,19&lt;=Supuestos!$B$27),Supuestos!$B$25/(Supuestos!$B$27-Supuestos!$B$28),0)</f>
        <v>0</v>
      </c>
      <c r="U39" s="29" t="n">
        <f aca="false">IF(AND(20&gt;Supuestos!$B$28,20&lt;=Supuestos!$B$27),Supuestos!$B$25/(Supuestos!$B$27-Supuestos!$B$28),0)</f>
        <v>0</v>
      </c>
      <c r="V39" s="29" t="n">
        <f aca="false">IF(AND(21&gt;Supuestos!$B$28,21&lt;=Supuestos!$B$27),Supuestos!$B$25/(Supuestos!$B$27-Supuestos!$B$28),0)</f>
        <v>0</v>
      </c>
      <c r="W39" s="29" t="n">
        <f aca="false">IF(AND(22&gt;Supuestos!$B$28,22&lt;=Supuestos!$B$27),Supuestos!$B$25/(Supuestos!$B$27-Supuestos!$B$28),0)</f>
        <v>0</v>
      </c>
      <c r="X39" s="29" t="n">
        <f aca="false">IF(AND(23&gt;Supuestos!$B$28,23&lt;=Supuestos!$B$27),Supuestos!$B$25/(Supuestos!$B$27-Supuestos!$B$28),0)</f>
        <v>0</v>
      </c>
      <c r="Y39" s="29" t="n">
        <f aca="false">IF(AND(24&gt;Supuestos!$B$28,24&lt;=Supuestos!$B$27),Supuestos!$B$25/(Supuestos!$B$27-Supuestos!$B$28),0)</f>
        <v>0</v>
      </c>
      <c r="Z39" s="30" t="n">
        <f aca="false">SUM(B39:Y39)</f>
        <v>450000</v>
      </c>
    </row>
    <row r="40" customFormat="false" ht="15" hidden="false" customHeight="false" outlineLevel="0" collapsed="false">
      <c r="A40" s="12" t="s">
        <v>173</v>
      </c>
      <c r="B40" s="31" t="n">
        <f aca="false">B38+B39</f>
        <v>60000</v>
      </c>
      <c r="C40" s="31" t="n">
        <f aca="false">C38+C39</f>
        <v>58125</v>
      </c>
      <c r="D40" s="31" t="n">
        <f aca="false">D38+D39</f>
        <v>56250</v>
      </c>
      <c r="E40" s="31" t="n">
        <f aca="false">E38+E39</f>
        <v>54375</v>
      </c>
      <c r="F40" s="31" t="n">
        <f aca="false">F38+F39</f>
        <v>52500</v>
      </c>
      <c r="G40" s="31" t="n">
        <f aca="false">G38+G39</f>
        <v>50625</v>
      </c>
      <c r="H40" s="31" t="n">
        <f aca="false">H38+H39</f>
        <v>48750</v>
      </c>
      <c r="I40" s="31" t="n">
        <f aca="false">I38+I39</f>
        <v>46875</v>
      </c>
      <c r="J40" s="31" t="n">
        <f aca="false">J38+J39</f>
        <v>45000</v>
      </c>
      <c r="K40" s="31" t="n">
        <f aca="false">K38+K39</f>
        <v>43125</v>
      </c>
      <c r="L40" s="31" t="n">
        <f aca="false">L38+L39</f>
        <v>41250</v>
      </c>
      <c r="M40" s="31" t="n">
        <f aca="false">M38+M39</f>
        <v>39375</v>
      </c>
      <c r="N40" s="31" t="n">
        <f aca="false">N38+N39</f>
        <v>0</v>
      </c>
      <c r="O40" s="31" t="n">
        <f aca="false">O38+O39</f>
        <v>0</v>
      </c>
      <c r="P40" s="31" t="n">
        <f aca="false">P38+P39</f>
        <v>0</v>
      </c>
      <c r="Q40" s="31" t="n">
        <f aca="false">Q38+Q39</f>
        <v>0</v>
      </c>
      <c r="R40" s="31" t="n">
        <f aca="false">R38+R39</f>
        <v>0</v>
      </c>
      <c r="S40" s="31" t="n">
        <f aca="false">S38+S39</f>
        <v>0</v>
      </c>
      <c r="T40" s="31" t="n">
        <f aca="false">T38+T39</f>
        <v>0</v>
      </c>
      <c r="U40" s="31" t="n">
        <f aca="false">U38+U39</f>
        <v>0</v>
      </c>
      <c r="V40" s="31" t="n">
        <f aca="false">V38+V39</f>
        <v>0</v>
      </c>
      <c r="W40" s="31" t="n">
        <f aca="false">W38+W39</f>
        <v>0</v>
      </c>
      <c r="X40" s="31" t="n">
        <f aca="false">X38+X39</f>
        <v>0</v>
      </c>
      <c r="Y40" s="31" t="n">
        <f aca="false">Y38+Y39</f>
        <v>0</v>
      </c>
      <c r="Z40" s="30" t="n">
        <f aca="false">SUM(B40:Y40)</f>
        <v>596250</v>
      </c>
    </row>
    <row r="41" customFormat="false" ht="15" hidden="false" customHeight="false" outlineLevel="0" collapsed="false">
      <c r="A41" s="4" t="s">
        <v>174</v>
      </c>
      <c r="B41" s="29" t="n">
        <f aca="false">B37-B39</f>
        <v>412500</v>
      </c>
      <c r="C41" s="29" t="n">
        <f aca="false">C37-C39</f>
        <v>375000</v>
      </c>
      <c r="D41" s="29" t="n">
        <f aca="false">D37-D39</f>
        <v>337500</v>
      </c>
      <c r="E41" s="29" t="n">
        <f aca="false">E37-E39</f>
        <v>300000</v>
      </c>
      <c r="F41" s="29" t="n">
        <f aca="false">F37-F39</f>
        <v>262500</v>
      </c>
      <c r="G41" s="29" t="n">
        <f aca="false">G37-G39</f>
        <v>225000</v>
      </c>
      <c r="H41" s="29" t="n">
        <f aca="false">H37-H39</f>
        <v>187500</v>
      </c>
      <c r="I41" s="29" t="n">
        <f aca="false">I37-I39</f>
        <v>150000</v>
      </c>
      <c r="J41" s="29" t="n">
        <f aca="false">J37-J39</f>
        <v>112500</v>
      </c>
      <c r="K41" s="29" t="n">
        <f aca="false">K37-K39</f>
        <v>75000</v>
      </c>
      <c r="L41" s="29" t="n">
        <f aca="false">L37-L39</f>
        <v>37500</v>
      </c>
      <c r="M41" s="29" t="n">
        <f aca="false">M37-M39</f>
        <v>0</v>
      </c>
      <c r="N41" s="29" t="n">
        <f aca="false">N37-N39</f>
        <v>0</v>
      </c>
      <c r="O41" s="29" t="n">
        <f aca="false">O37-O39</f>
        <v>0</v>
      </c>
      <c r="P41" s="29" t="n">
        <f aca="false">P37-P39</f>
        <v>0</v>
      </c>
      <c r="Q41" s="29" t="n">
        <f aca="false">Q37-Q39</f>
        <v>0</v>
      </c>
      <c r="R41" s="29" t="n">
        <f aca="false">R37-R39</f>
        <v>0</v>
      </c>
      <c r="S41" s="29" t="n">
        <f aca="false">S37-S39</f>
        <v>0</v>
      </c>
      <c r="T41" s="29" t="n">
        <f aca="false">T37-T39</f>
        <v>0</v>
      </c>
      <c r="U41" s="29" t="n">
        <f aca="false">U37-U39</f>
        <v>0</v>
      </c>
      <c r="V41" s="29" t="n">
        <f aca="false">V37-V39</f>
        <v>0</v>
      </c>
      <c r="W41" s="29" t="n">
        <f aca="false">W37-W39</f>
        <v>0</v>
      </c>
      <c r="X41" s="29" t="n">
        <f aca="false">X37-X39</f>
        <v>0</v>
      </c>
      <c r="Y41" s="29" t="n">
        <f aca="false">Y37-Y39</f>
        <v>0</v>
      </c>
    </row>
    <row r="42" customFormat="false" ht="15" hidden="false" customHeight="false" outlineLevel="0" collapsed="false">
      <c r="A42" s="4" t="s">
        <v>175</v>
      </c>
      <c r="B42" s="32" t="n">
        <f aca="false">IF(B40&gt;0,B28/B40,"")</f>
        <v>-3.03133333333333</v>
      </c>
      <c r="C42" s="32" t="n">
        <f aca="false">IF(C40&gt;0,C28/C40,"")</f>
        <v>1.81677419354839</v>
      </c>
      <c r="D42" s="32" t="n">
        <f aca="false">IF(D40&gt;0,D28/D40,"")</f>
        <v>1.14133333333333</v>
      </c>
      <c r="E42" s="32" t="n">
        <f aca="false">IF(E40&gt;0,E28/E40,"")</f>
        <v>3.88413793103448</v>
      </c>
      <c r="F42" s="32" t="n">
        <f aca="false">IF(F40&gt;0,F28/F40,"")</f>
        <v>1.22285714285714</v>
      </c>
      <c r="G42" s="32" t="n">
        <f aca="false">IF(G40&gt;0,G28/G40,"")</f>
        <v>4.17185185185185</v>
      </c>
      <c r="H42" s="32" t="n">
        <f aca="false">IF(H40&gt;0,H28/H40,"")</f>
        <v>1.31692307692308</v>
      </c>
      <c r="I42" s="32" t="n">
        <f aca="false">IF(I40&gt;0,I28/I40,"")</f>
        <v>4.5056</v>
      </c>
      <c r="J42" s="32" t="n">
        <f aca="false">IF(J40&gt;0,J28/J40,"")</f>
        <v>4.69333333333333</v>
      </c>
      <c r="K42" s="32" t="n">
        <f aca="false">IF(K40&gt;0,K28/K40,"")</f>
        <v>1.48869565217391</v>
      </c>
      <c r="L42" s="32" t="n">
        <f aca="false">IF(L40&gt;0,L28/L40,"")</f>
        <v>5.12</v>
      </c>
      <c r="M42" s="32" t="n">
        <f aca="false">IF(M40&gt;0,M28/M40,"")</f>
        <v>1.63047619047619</v>
      </c>
      <c r="N42" s="32" t="str">
        <f aca="false">IF(N40&gt;0,N28/N40,"")</f>
        <v/>
      </c>
      <c r="O42" s="32" t="str">
        <f aca="false">IF(O40&gt;0,O28/O40,"")</f>
        <v/>
      </c>
      <c r="P42" s="32" t="str">
        <f aca="false">IF(P40&gt;0,P28/P40,"")</f>
        <v/>
      </c>
      <c r="Q42" s="32" t="str">
        <f aca="false">IF(Q40&gt;0,Q28/Q40,"")</f>
        <v/>
      </c>
      <c r="R42" s="32" t="str">
        <f aca="false">IF(R40&gt;0,R28/R40,"")</f>
        <v/>
      </c>
      <c r="S42" s="32" t="str">
        <f aca="false">IF(S40&gt;0,S28/S40,"")</f>
        <v/>
      </c>
      <c r="T42" s="32" t="str">
        <f aca="false">IF(T40&gt;0,T28/T40,"")</f>
        <v/>
      </c>
      <c r="U42" s="32" t="str">
        <f aca="false">IF(U40&gt;0,U28/U40,"")</f>
        <v/>
      </c>
      <c r="V42" s="32" t="str">
        <f aca="false">IF(V40&gt;0,V28/V40,"")</f>
        <v/>
      </c>
      <c r="W42" s="32" t="str">
        <f aca="false">IF(W40&gt;0,W28/W40,"")</f>
        <v/>
      </c>
      <c r="X42" s="32" t="str">
        <f aca="false">IF(X40&gt;0,X28/X40,"")</f>
        <v/>
      </c>
      <c r="Y42" s="32" t="str">
        <f aca="false">IF(Y40&gt;0,Y28/Y40,"")</f>
        <v/>
      </c>
    </row>
    <row r="43" customFormat="false" ht="15" hidden="false" customHeight="false" outlineLevel="0" collapsed="false">
      <c r="A43" s="4" t="s">
        <v>176</v>
      </c>
      <c r="B43" s="32" t="str">
        <f aca="false">IF(AND(B39&gt;0,1&gt;=4),SUM(B28)/SUM(B40),"")</f>
        <v/>
      </c>
      <c r="C43" s="32" t="str">
        <f aca="false">IF(AND(C39&gt;0,2&gt;=4),SUM(B28:C28)/SUM(B40:C40),"")</f>
        <v/>
      </c>
      <c r="D43" s="32" t="str">
        <f aca="false">IF(AND(D39&gt;0,3&gt;=4),SUM(B28:D28)/SUM(B40:D40),"")</f>
        <v/>
      </c>
      <c r="E43" s="32" t="n">
        <f aca="false">IF(AND(E39&gt;0,4&gt;=4),SUM(C28:E28)/SUM(C40:E40),"")</f>
        <v>2.25777777777778</v>
      </c>
      <c r="F43" s="32" t="n">
        <f aca="false">IF(AND(F39&gt;0,5&gt;=4),SUM(D28:F28)/SUM(D40:F40),"")</f>
        <v>2.08183908045977</v>
      </c>
      <c r="G43" s="32" t="n">
        <f aca="false">IF(AND(G39&gt;0,6&gt;=4),SUM(E28:G28)/SUM(E40:G40),"")</f>
        <v>3.08952380952381</v>
      </c>
      <c r="H43" s="32" t="n">
        <f aca="false">IF(AND(H39&gt;0,7&gt;=4),SUM(F28:H28)/SUM(F40:H40),"")</f>
        <v>2.23604938271605</v>
      </c>
      <c r="I43" s="32" t="n">
        <f aca="false">IF(AND(I39&gt;0,8&gt;=4),SUM(G28:I28)/SUM(G40:I40),"")</f>
        <v>3.32717948717949</v>
      </c>
      <c r="J43" s="32" t="n">
        <f aca="false">IF(AND(J39&gt;0,9&gt;=4),SUM(H28:J28)/SUM(H40:J40),"")</f>
        <v>3.46026666666667</v>
      </c>
      <c r="K43" s="32" t="n">
        <f aca="false">IF(AND(K39&gt;0,10&gt;=4),SUM(I28:K28)/SUM(I40:K40),"")</f>
        <v>3.60444444444444</v>
      </c>
      <c r="L43" s="32" t="n">
        <f aca="false">IF(AND(L39&gt;0,11&gt;=4),SUM(J28:L28)/SUM(J40:L40),"")</f>
        <v>3.76115942028986</v>
      </c>
      <c r="M43" s="32" t="n">
        <f aca="false">IF(AND(M39&gt;0,12&gt;=4),SUM(K28:M28)/SUM(K40:M40),"")</f>
        <v>2.74424242424242</v>
      </c>
      <c r="N43" s="32" t="str">
        <f aca="false">IF(AND(N39&gt;0,13&gt;=4),SUM(L28:N28)/SUM(L40:N40),"")</f>
        <v/>
      </c>
      <c r="O43" s="32" t="str">
        <f aca="false">IF(AND(O39&gt;0,14&gt;=4),SUM(M28:O28)/SUM(M40:O40),"")</f>
        <v/>
      </c>
      <c r="P43" s="32" t="str">
        <f aca="false">IF(AND(P39&gt;0,15&gt;=4),SUM(N28:P28)/SUM(N40:P40),"")</f>
        <v/>
      </c>
      <c r="Q43" s="32" t="str">
        <f aca="false">IF(AND(Q39&gt;0,16&gt;=4),SUM(O28:Q28)/SUM(O40:Q40),"")</f>
        <v/>
      </c>
      <c r="R43" s="32" t="str">
        <f aca="false">IF(AND(R39&gt;0,17&gt;=4),SUM(P28:R28)/SUM(P40:R40),"")</f>
        <v/>
      </c>
      <c r="S43" s="32" t="str">
        <f aca="false">IF(AND(S39&gt;0,18&gt;=4),SUM(Q28:S28)/SUM(Q40:S40),"")</f>
        <v/>
      </c>
      <c r="T43" s="32" t="str">
        <f aca="false">IF(AND(T39&gt;0,19&gt;=4),SUM(R28:T28)/SUM(R40:T40),"")</f>
        <v/>
      </c>
      <c r="U43" s="32" t="str">
        <f aca="false">IF(AND(U39&gt;0,20&gt;=4),SUM(S28:U28)/SUM(S40:U40),"")</f>
        <v/>
      </c>
      <c r="V43" s="32" t="str">
        <f aca="false">IF(AND(V39&gt;0,21&gt;=4),SUM(T28:V28)/SUM(T40:V40),"")</f>
        <v/>
      </c>
      <c r="W43" s="32" t="str">
        <f aca="false">IF(AND(W39&gt;0,22&gt;=4),SUM(U28:W28)/SUM(U40:W40),"")</f>
        <v/>
      </c>
      <c r="X43" s="32" t="str">
        <f aca="false">IF(AND(X39&gt;0,23&gt;=4),SUM(V28:X28)/SUM(V40:X40),"")</f>
        <v/>
      </c>
      <c r="Y43" s="32" t="str">
        <f aca="false">IF(AND(Y39&gt;0,24&gt;=4),SUM(W28:Y28)/SUM(W40:Y40),"")</f>
        <v/>
      </c>
    </row>
    <row r="44" customFormat="false" ht="15" hidden="false" customHeight="false" outlineLevel="0" collapsed="false">
      <c r="A44" s="4" t="s">
        <v>177</v>
      </c>
      <c r="B44" s="33" t="n">
        <f aca="false">IF(B29&gt;0,1,999)</f>
        <v>999</v>
      </c>
      <c r="C44" s="33" t="n">
        <f aca="false">IF(C29&gt;0,2,999)</f>
        <v>999</v>
      </c>
      <c r="D44" s="33" t="n">
        <f aca="false">IF(D29&gt;0,3,999)</f>
        <v>999</v>
      </c>
      <c r="E44" s="33" t="n">
        <f aca="false">IF(E29&gt;0,4,999)</f>
        <v>4</v>
      </c>
      <c r="F44" s="33" t="n">
        <f aca="false">IF(F29&gt;0,5,999)</f>
        <v>5</v>
      </c>
      <c r="G44" s="33" t="n">
        <f aca="false">IF(G29&gt;0,6,999)</f>
        <v>6</v>
      </c>
      <c r="H44" s="33" t="n">
        <f aca="false">IF(H29&gt;0,7,999)</f>
        <v>7</v>
      </c>
      <c r="I44" s="33" t="n">
        <f aca="false">IF(I29&gt;0,8,999)</f>
        <v>8</v>
      </c>
      <c r="J44" s="33" t="n">
        <f aca="false">IF(J29&gt;0,9,999)</f>
        <v>9</v>
      </c>
      <c r="K44" s="33" t="n">
        <f aca="false">IF(K29&gt;0,10,999)</f>
        <v>10</v>
      </c>
      <c r="L44" s="33" t="n">
        <f aca="false">IF(L29&gt;0,11,999)</f>
        <v>11</v>
      </c>
      <c r="M44" s="33" t="n">
        <f aca="false">IF(M29&gt;0,12,999)</f>
        <v>12</v>
      </c>
      <c r="N44" s="33" t="n">
        <f aca="false">IF(N29&gt;0,13,999)</f>
        <v>13</v>
      </c>
      <c r="O44" s="33" t="n">
        <f aca="false">IF(O29&gt;0,14,999)</f>
        <v>14</v>
      </c>
      <c r="P44" s="33" t="n">
        <f aca="false">IF(P29&gt;0,15,999)</f>
        <v>15</v>
      </c>
      <c r="Q44" s="33" t="n">
        <f aca="false">IF(Q29&gt;0,16,999)</f>
        <v>16</v>
      </c>
      <c r="R44" s="33" t="n">
        <f aca="false">IF(R29&gt;0,17,999)</f>
        <v>17</v>
      </c>
      <c r="S44" s="33" t="n">
        <f aca="false">IF(S29&gt;0,18,999)</f>
        <v>18</v>
      </c>
      <c r="T44" s="33" t="n">
        <f aca="false">IF(T29&gt;0,19,999)</f>
        <v>19</v>
      </c>
      <c r="U44" s="33" t="n">
        <f aca="false">IF(U29&gt;0,20,999)</f>
        <v>20</v>
      </c>
      <c r="V44" s="33" t="n">
        <f aca="false">IF(V29&gt;0,21,999)</f>
        <v>21</v>
      </c>
      <c r="W44" s="33" t="n">
        <f aca="false">IF(W29&gt;0,22,999)</f>
        <v>22</v>
      </c>
      <c r="X44" s="33" t="n">
        <f aca="false">IF(X29&gt;0,23,999)</f>
        <v>23</v>
      </c>
      <c r="Y44" s="33" t="n">
        <f aca="false">IF(Y29&gt;0,24,999)</f>
        <v>24</v>
      </c>
    </row>
    <row r="45" customFormat="false" ht="15" hidden="false" customHeight="false" outlineLevel="0" collapsed="false">
      <c r="A45" s="10" t="s">
        <v>178</v>
      </c>
    </row>
    <row r="46" customFormat="false" ht="15" hidden="false" customHeight="false" outlineLevel="0" collapsed="false">
      <c r="A46" s="12" t="s">
        <v>179</v>
      </c>
      <c r="B46" s="31" t="n">
        <f aca="false">B28+B36-B40</f>
        <v>208120</v>
      </c>
      <c r="C46" s="31" t="n">
        <f aca="false">C28+C36-C40</f>
        <v>47475</v>
      </c>
      <c r="D46" s="31" t="n">
        <f aca="false">D28+D36-D40</f>
        <v>7950</v>
      </c>
      <c r="E46" s="31" t="n">
        <f aca="false">E28+E36-E40</f>
        <v>156825</v>
      </c>
      <c r="F46" s="31" t="n">
        <f aca="false">F28+F36-F40</f>
        <v>11700</v>
      </c>
      <c r="G46" s="31" t="n">
        <f aca="false">G28+G36-G40</f>
        <v>160575</v>
      </c>
      <c r="H46" s="31" t="n">
        <f aca="false">H28+H36-H40</f>
        <v>15450</v>
      </c>
      <c r="I46" s="31" t="n">
        <f aca="false">I28+I36-I40</f>
        <v>164325</v>
      </c>
      <c r="J46" s="31" t="n">
        <f aca="false">J28+J36-J40</f>
        <v>166200</v>
      </c>
      <c r="K46" s="31" t="n">
        <f aca="false">K28+K36-K40</f>
        <v>21075</v>
      </c>
      <c r="L46" s="31" t="n">
        <f aca="false">L28+L36-L40</f>
        <v>169950</v>
      </c>
      <c r="M46" s="31" t="n">
        <f aca="false">M28+M36-M40</f>
        <v>24825</v>
      </c>
      <c r="N46" s="31" t="n">
        <f aca="false">N28+N36-N40</f>
        <v>211200</v>
      </c>
      <c r="O46" s="31" t="n">
        <f aca="false">O28+O36-O40</f>
        <v>64200</v>
      </c>
      <c r="P46" s="31" t="n">
        <f aca="false">P28+P36-P40</f>
        <v>211200</v>
      </c>
      <c r="Q46" s="31" t="n">
        <f aca="false">Q28+Q36-Q40</f>
        <v>190200</v>
      </c>
      <c r="R46" s="31" t="n">
        <f aca="false">R28+R36-R40</f>
        <v>211200</v>
      </c>
      <c r="S46" s="31" t="n">
        <f aca="false">S28+S36-S40</f>
        <v>211200</v>
      </c>
      <c r="T46" s="31" t="n">
        <f aca="false">T28+T36-T40</f>
        <v>211200</v>
      </c>
      <c r="U46" s="31" t="n">
        <f aca="false">U28+U36-U40</f>
        <v>211200</v>
      </c>
      <c r="V46" s="31" t="n">
        <f aca="false">V28+V36-V40</f>
        <v>211200</v>
      </c>
      <c r="W46" s="31" t="n">
        <f aca="false">W28+W36-W40</f>
        <v>211200</v>
      </c>
      <c r="X46" s="31" t="n">
        <f aca="false">X28+X36-X40</f>
        <v>211200</v>
      </c>
      <c r="Y46" s="31" t="n">
        <f aca="false">Y28+Y36-Y40</f>
        <v>211200</v>
      </c>
      <c r="Z46" s="30" t="n">
        <f aca="false">SUM(B46:Y46)</f>
        <v>3520870</v>
      </c>
    </row>
    <row r="47" customFormat="false" ht="15" hidden="false" customHeight="false" outlineLevel="0" collapsed="false">
      <c r="A47" s="12" t="s">
        <v>180</v>
      </c>
      <c r="B47" s="31" t="n">
        <f aca="false">SUM($B$46:B$46)</f>
        <v>208120</v>
      </c>
      <c r="C47" s="31" t="n">
        <f aca="false">SUM($B$46:C$46)</f>
        <v>255595</v>
      </c>
      <c r="D47" s="31" t="n">
        <f aca="false">SUM($B$46:D$46)</f>
        <v>263545</v>
      </c>
      <c r="E47" s="31" t="n">
        <f aca="false">SUM($B$46:E$46)</f>
        <v>420370</v>
      </c>
      <c r="F47" s="31" t="n">
        <f aca="false">SUM($B$46:F$46)</f>
        <v>432070</v>
      </c>
      <c r="G47" s="31" t="n">
        <f aca="false">SUM($B$46:G$46)</f>
        <v>592645</v>
      </c>
      <c r="H47" s="31" t="n">
        <f aca="false">SUM($B$46:H$46)</f>
        <v>608095</v>
      </c>
      <c r="I47" s="31" t="n">
        <f aca="false">SUM($B$46:I$46)</f>
        <v>772420</v>
      </c>
      <c r="J47" s="31" t="n">
        <f aca="false">SUM($B$46:J$46)</f>
        <v>938620</v>
      </c>
      <c r="K47" s="31" t="n">
        <f aca="false">SUM($B$46:K$46)</f>
        <v>959695</v>
      </c>
      <c r="L47" s="31" t="n">
        <f aca="false">SUM($B$46:L$46)</f>
        <v>1129645</v>
      </c>
      <c r="M47" s="31" t="n">
        <f aca="false">SUM($B$46:M$46)</f>
        <v>1154470</v>
      </c>
      <c r="N47" s="31" t="n">
        <f aca="false">SUM($B$46:N$46)</f>
        <v>1365670</v>
      </c>
      <c r="O47" s="31" t="n">
        <f aca="false">SUM($B$46:O$46)</f>
        <v>1429870</v>
      </c>
      <c r="P47" s="31" t="n">
        <f aca="false">SUM($B$46:P$46)</f>
        <v>1641070</v>
      </c>
      <c r="Q47" s="31" t="n">
        <f aca="false">SUM($B$46:Q$46)</f>
        <v>1831270</v>
      </c>
      <c r="R47" s="31" t="n">
        <f aca="false">SUM($B$46:R$46)</f>
        <v>2042470</v>
      </c>
      <c r="S47" s="31" t="n">
        <f aca="false">SUM($B$46:S$46)</f>
        <v>2253670</v>
      </c>
      <c r="T47" s="31" t="n">
        <f aca="false">SUM($B$46:T$46)</f>
        <v>2464870</v>
      </c>
      <c r="U47" s="31" t="n">
        <f aca="false">SUM($B$46:U$46)</f>
        <v>2676070</v>
      </c>
      <c r="V47" s="31" t="n">
        <f aca="false">SUM($B$46:V$46)</f>
        <v>2887270</v>
      </c>
      <c r="W47" s="31" t="n">
        <f aca="false">SUM($B$46:W$46)</f>
        <v>3098470</v>
      </c>
      <c r="X47" s="31" t="n">
        <f aca="false">SUM($B$46:X$46)</f>
        <v>3309670</v>
      </c>
      <c r="Y47" s="31" t="n">
        <f aca="false">SUM($B$46:Y$46)</f>
        <v>3520870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0"/>
    <col collapsed="false" customWidth="true" hidden="false" outlineLevel="0" max="9" min="2" style="0" width="22"/>
  </cols>
  <sheetData>
    <row r="1" customFormat="false" ht="17.35" hidden="false" customHeight="false" outlineLevel="0" collapsed="false">
      <c r="A1" s="1" t="s">
        <v>181</v>
      </c>
    </row>
    <row r="2" customFormat="false" ht="15" hidden="false" customHeight="false" outlineLevel="0" collapsed="false">
      <c r="A2" s="2" t="s">
        <v>182</v>
      </c>
    </row>
    <row r="4" customFormat="false" ht="15" hidden="false" customHeight="false" outlineLevel="0" collapsed="false">
      <c r="A4" s="3" t="s">
        <v>183</v>
      </c>
      <c r="B4" s="3" t="s">
        <v>184</v>
      </c>
      <c r="C4" s="3" t="s">
        <v>7</v>
      </c>
      <c r="D4" s="3" t="s">
        <v>185</v>
      </c>
      <c r="E4" s="3" t="s">
        <v>186</v>
      </c>
      <c r="F4" s="3" t="s">
        <v>187</v>
      </c>
      <c r="G4" s="3" t="s">
        <v>188</v>
      </c>
      <c r="H4" s="3" t="s">
        <v>189</v>
      </c>
      <c r="I4" s="3" t="s">
        <v>190</v>
      </c>
    </row>
    <row r="5" customFormat="false" ht="15" hidden="false" customHeight="false" outlineLevel="0" collapsed="false">
      <c r="A5" s="4" t="s">
        <v>106</v>
      </c>
      <c r="B5" s="29" t="n">
        <v>236472</v>
      </c>
      <c r="C5" s="33" t="n">
        <v>2</v>
      </c>
      <c r="D5" s="29" t="n">
        <v>-3950</v>
      </c>
      <c r="E5" s="33" t="n">
        <v>8</v>
      </c>
      <c r="F5" s="32" t="n">
        <v>-0.252728888888889</v>
      </c>
      <c r="G5" s="29" t="n">
        <v>7017696</v>
      </c>
      <c r="H5" s="29" t="n">
        <v>1599440</v>
      </c>
      <c r="I5" s="29" t="n">
        <v>1120550</v>
      </c>
    </row>
    <row r="6" customFormat="false" ht="15" hidden="false" customHeight="false" outlineLevel="0" collapsed="false">
      <c r="A6" s="4" t="s">
        <v>107</v>
      </c>
      <c r="B6" s="29" t="n">
        <v>181880</v>
      </c>
      <c r="C6" s="33" t="n">
        <v>1</v>
      </c>
      <c r="D6" s="29" t="n">
        <v>208120</v>
      </c>
      <c r="E6" s="33" t="n">
        <v>4</v>
      </c>
      <c r="F6" s="32" t="n">
        <v>2.08183908045977</v>
      </c>
      <c r="G6" s="29" t="n">
        <v>11139200</v>
      </c>
      <c r="H6" s="29" t="n">
        <v>3931120</v>
      </c>
      <c r="I6" s="29" t="n">
        <v>3520870</v>
      </c>
    </row>
    <row r="7" customFormat="false" ht="15" hidden="false" customHeight="false" outlineLevel="0" collapsed="false">
      <c r="A7" s="4" t="s">
        <v>108</v>
      </c>
      <c r="B7" s="29" t="n">
        <v>178736</v>
      </c>
      <c r="C7" s="33" t="n">
        <v>1</v>
      </c>
      <c r="D7" s="29" t="n">
        <v>211264</v>
      </c>
      <c r="E7" s="33" t="n">
        <v>3</v>
      </c>
      <c r="F7" s="32" t="n">
        <v>3.18565517241379</v>
      </c>
      <c r="G7" s="29" t="n">
        <v>13450584</v>
      </c>
      <c r="H7" s="29" t="n">
        <v>5347592</v>
      </c>
      <c r="I7" s="29" t="n">
        <v>4882562</v>
      </c>
    </row>
    <row r="10" customFormat="false" ht="15" hidden="false" customHeight="false" outlineLevel="0" collapsed="false">
      <c r="A10" s="2" t="s">
        <v>191</v>
      </c>
    </row>
    <row r="11" customFormat="false" ht="15" hidden="false" customHeight="false" outlineLevel="0" collapsed="false">
      <c r="A11" s="2" t="s">
        <v>192</v>
      </c>
    </row>
    <row r="12" customFormat="false" ht="15" hidden="false" customHeight="false" outlineLevel="0" collapsed="false">
      <c r="A12" s="2" t="s">
        <v>193</v>
      </c>
    </row>
    <row r="14" customFormat="false" ht="15" hidden="false" customHeight="false" outlineLevel="0" collapsed="false">
      <c r="A14" s="34" t="s">
        <v>194</v>
      </c>
    </row>
    <row r="15" customFormat="false" ht="15" hidden="false" customHeight="false" outlineLevel="0" collapsed="false">
      <c r="A15" s="3" t="s">
        <v>195</v>
      </c>
      <c r="B15" s="3" t="s">
        <v>106</v>
      </c>
      <c r="C15" s="3" t="s">
        <v>107</v>
      </c>
      <c r="D15" s="3" t="s">
        <v>108</v>
      </c>
    </row>
    <row r="16" customFormat="false" ht="15" hidden="false" customHeight="false" outlineLevel="0" collapsed="false">
      <c r="A16" s="0" t="n">
        <v>1</v>
      </c>
      <c r="B16" s="35" t="n">
        <v>182552</v>
      </c>
      <c r="C16" s="35" t="n">
        <v>181880</v>
      </c>
      <c r="D16" s="35" t="n">
        <v>178736</v>
      </c>
    </row>
    <row r="17" customFormat="false" ht="15" hidden="false" customHeight="false" outlineLevel="0" collapsed="false">
      <c r="A17" s="0" t="n">
        <v>2</v>
      </c>
      <c r="B17" s="35" t="n">
        <v>236472</v>
      </c>
      <c r="C17" s="35" t="n">
        <v>276080</v>
      </c>
      <c r="D17" s="35" t="n">
        <v>229588</v>
      </c>
    </row>
    <row r="18" customFormat="false" ht="15" hidden="false" customHeight="false" outlineLevel="0" collapsed="false">
      <c r="A18" s="0" t="n">
        <v>3</v>
      </c>
      <c r="B18" s="35" t="n">
        <v>391520</v>
      </c>
      <c r="C18" s="35" t="n">
        <v>434480</v>
      </c>
      <c r="D18" s="35" t="n">
        <v>420856</v>
      </c>
    </row>
    <row r="20" customFormat="false" ht="15" hidden="false" customHeight="false" outlineLevel="0" collapsed="false">
      <c r="A20" s="34" t="s">
        <v>196</v>
      </c>
    </row>
    <row r="21" customFormat="false" ht="15" hidden="false" customHeight="false" outlineLevel="0" collapsed="false">
      <c r="A21" s="3" t="s">
        <v>197</v>
      </c>
      <c r="B21" s="3" t="s">
        <v>184</v>
      </c>
      <c r="C21" s="3" t="s">
        <v>185</v>
      </c>
    </row>
    <row r="22" customFormat="false" ht="15" hidden="false" customHeight="false" outlineLevel="0" collapsed="false">
      <c r="A22" s="0" t="s">
        <v>198</v>
      </c>
      <c r="B22" s="35" t="n">
        <v>181880</v>
      </c>
      <c r="C22" s="35" t="n">
        <v>208120</v>
      </c>
    </row>
    <row r="23" customFormat="false" ht="15" hidden="false" customHeight="false" outlineLevel="0" collapsed="false">
      <c r="A23" s="0" t="s">
        <v>199</v>
      </c>
      <c r="B23" s="35" t="n">
        <v>276080</v>
      </c>
      <c r="C23" s="35" t="n">
        <v>-455</v>
      </c>
    </row>
    <row r="24" customFormat="false" ht="15" hidden="false" customHeight="false" outlineLevel="0" collapsed="false">
      <c r="A24" s="0" t="s">
        <v>200</v>
      </c>
      <c r="B24" s="35" t="n">
        <v>244280</v>
      </c>
      <c r="C24" s="35" t="n">
        <v>145720</v>
      </c>
    </row>
    <row r="25" customFormat="false" ht="15" hidden="false" customHeight="false" outlineLevel="0" collapsed="false">
      <c r="A25" s="0" t="s">
        <v>201</v>
      </c>
      <c r="B25" s="35" t="n">
        <v>380080</v>
      </c>
      <c r="C25" s="35" t="n">
        <v>-104455</v>
      </c>
    </row>
    <row r="26" customFormat="false" ht="15" hidden="false" customHeight="false" outlineLevel="0" collapsed="false">
      <c r="A26" s="0" t="s">
        <v>202</v>
      </c>
      <c r="B26" s="35" t="n">
        <v>23480</v>
      </c>
      <c r="C26" s="35" t="n">
        <v>366520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2026-09-20T22:49:01Z</dcterms:created>
  <dc:creator>openpyxl</dc:creator>
  <dc:description/>
  <dc:language>es-ES</dc:language>
  <cp:lastModifiedBy/>
  <dcterms:modified xsi:type="dcterms:W3CDTF">2026-09-20T22:49:01Z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