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3"/>
    <sheet name="Supuestos" sheetId="2" state="visible" r:id="rId4"/>
    <sheet name="Flujo mensual" sheetId="3" state="visible" r:id="rId5"/>
    <sheet name="Semana a semana" sheetId="4" state="visible" r:id="rId6"/>
    <sheet name="Escenario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<sst xmlns="http://schemas.openxmlformats.org/spreadsheetml/2006/main" count="238" uniqueCount="209">
  <si>
    <t xml:space="preserve">Resumen para el inversionista (escenario activo)</t>
  </si>
  <si>
    <t xml:space="preserve">Indicador</t>
  </si>
  <si>
    <t xml:space="preserve">Valor</t>
  </si>
  <si>
    <t xml:space="preserve">Aporte de capital del inversionista</t>
  </si>
  <si>
    <t xml:space="preserve">Participación que adquiere del aserradero</t>
  </si>
  <si>
    <t xml:space="preserve">Valoración después del aporte</t>
  </si>
  <si>
    <t xml:space="preserve">Valoración antes del aporte</t>
  </si>
  <si>
    <t xml:space="preserve">Activos declarados incluidos en la valoración (avalúo por hacer)</t>
  </si>
  <si>
    <t xml:space="preserve">Producción mínima comprometida</t>
  </si>
  <si>
    <t xml:space="preserve">Utilidad declarada para reparto, por m³</t>
  </si>
  <si>
    <t xml:space="preserve">Utilidad declarada para reparto, al mes</t>
  </si>
  <si>
    <t xml:space="preserve">Al inversionista por mes (20%)</t>
  </si>
  <si>
    <t xml:space="preserve">Al inversionista por año</t>
  </si>
  <si>
    <t xml:space="preserve">Rendimiento anual en efectivo sobre el aporte</t>
  </si>
  <si>
    <t xml:space="preserve">Años para recuperar el aporte solo con los repartos</t>
  </si>
  <si>
    <t xml:space="preserve">EBITDA mensual en régimen</t>
  </si>
  <si>
    <t xml:space="preserve">Caja mínima del mes (con el aporte y el uso de los fondos)</t>
  </si>
  <si>
    <t xml:space="preserve">Mes de la caja mínima</t>
  </si>
  <si>
    <t xml:space="preserve">Capital que exige la operación por sí sola (pico del flujo acumulado; negativo = no exige)</t>
  </si>
  <si>
    <t xml:space="preserve">Mes en que la operación recupera lo que consume</t>
  </si>
  <si>
    <t xml:space="preserve">Ventas 24 meses</t>
  </si>
  <si>
    <t xml:space="preserve">EBITDA 24 meses</t>
  </si>
  <si>
    <t xml:space="preserve">Utilidad repartida 24 meses</t>
  </si>
  <si>
    <t xml:space="preserve">Al inversionista en 24 meses (20%)</t>
  </si>
  <si>
    <t xml:space="preserve">A los socios actuales en 24 meses (80%)</t>
  </si>
  <si>
    <t xml:space="preserve">A reserva de la empresa en 24 meses</t>
  </si>
  <si>
    <t xml:space="preserve">Caja al mes 24</t>
  </si>
  <si>
    <t xml:space="preserve">ECONOMÍA POR METRO CÚBICO ASERRADO</t>
  </si>
  <si>
    <t xml:space="preserve">Precio de venta</t>
  </si>
  <si>
    <t xml:space="preserve">(−) Madera en pie</t>
  </si>
  <si>
    <t xml:space="preserve">(−) Tumba, roleo, carga y flete</t>
  </si>
  <si>
    <t xml:space="preserve">(−) Gasoil</t>
  </si>
  <si>
    <t xml:space="preserve">(−) Nómina por producción</t>
  </si>
  <si>
    <t xml:space="preserve">(−) Otros de planta</t>
  </si>
  <si>
    <t xml:space="preserve">Margen directo por m³</t>
  </si>
  <si>
    <t xml:space="preserve">Pinos del Sur / Maderas La Rola · Inversión de capital · $1.000.000 por el 20%</t>
  </si>
  <si>
    <t xml:space="preserve">Celdas en AZUL sobre AMARILLO se editan. Todo lo demás son fórmulas. Montos en US$.</t>
  </si>
  <si>
    <t xml:space="preserve">Concepto</t>
  </si>
  <si>
    <t xml:space="preserve">Unidad</t>
  </si>
  <si>
    <t xml:space="preserve">Fuente / nota</t>
  </si>
  <si>
    <t xml:space="preserve">PRODUCCIÓN</t>
  </si>
  <si>
    <t xml:space="preserve">Producción de madera aserrada</t>
  </si>
  <si>
    <t xml:space="preserve">m³/mes</t>
  </si>
  <si>
    <t xml:space="preserve">Mínimo comprometido: 200 m³ por semana. La planta probó 40 a 45 m³ diarios en un turno (~880 a 990 m³/mes)</t>
  </si>
  <si>
    <t xml:space="preserve">Rola por m³ aserrado</t>
  </si>
  <si>
    <t xml:space="preserve">m estéreo</t>
  </si>
  <si>
    <t xml:space="preserve">Operación</t>
  </si>
  <si>
    <t xml:space="preserve">Metros estéreo por m³ sólido de rola</t>
  </si>
  <si>
    <t xml:space="preserve">m est / m³</t>
  </si>
  <si>
    <t xml:space="preserve">Operación (rendimiento resultante 44%)</t>
  </si>
  <si>
    <t xml:space="preserve">Producción del mes 1</t>
  </si>
  <si>
    <t xml:space="preserve">% de la capacidad</t>
  </si>
  <si>
    <t xml:space="preserve">La planta produce desde la semana 1</t>
  </si>
  <si>
    <t xml:space="preserve">COSTO DIRECTO (por m³ aserrado salvo indicación)</t>
  </si>
  <si>
    <t xml:space="preserve">Madera en pie de terceros</t>
  </si>
  <si>
    <t xml:space="preserve">$/m³ sólido</t>
  </si>
  <si>
    <t xml:space="preserve">Compra semanal, se paga a medida que se corta</t>
  </si>
  <si>
    <t xml:space="preserve">Tumba, roleo, carga y flete bosque → aserradero</t>
  </si>
  <si>
    <t xml:space="preserve">$/m estéreo</t>
  </si>
  <si>
    <t xml:space="preserve">Operación forestal, por metro estéreo</t>
  </si>
  <si>
    <t xml:space="preserve">Gasoil</t>
  </si>
  <si>
    <t xml:space="preserve">$/m³ aserrado</t>
  </si>
  <si>
    <t xml:space="preserve">Consumo de la operación</t>
  </si>
  <si>
    <t xml:space="preserve">Nómina por producción</t>
  </si>
  <si>
    <t xml:space="preserve">Otros de planta (sierras, afilado, energía, mantenimiento menor)</t>
  </si>
  <si>
    <t xml:space="preserve">Estimado</t>
  </si>
  <si>
    <t xml:space="preserve">Administración y gerencia (fijo)</t>
  </si>
  <si>
    <t xml:space="preserve">$/mes</t>
  </si>
  <si>
    <t xml:space="preserve">Gerencia, contabilidad, permisos, oficina</t>
  </si>
  <si>
    <t xml:space="preserve">Gastos únicos de arranque: discos y vidias $5.000 + aceite de equipos $3.000</t>
  </si>
  <si>
    <t xml:space="preserve">$ en la semana 1</t>
  </si>
  <si>
    <t xml:space="preserve">Stock inicial de gasoil (10.000 L)</t>
  </si>
  <si>
    <t xml:space="preserve">Se repone cuando se agota</t>
  </si>
  <si>
    <t xml:space="preserve">VENTA Y COBRO</t>
  </si>
  <si>
    <t xml:space="preserve">Precio de venta · tablas 10 y 15 verde, en planta</t>
  </si>
  <si>
    <t xml:space="preserve">Precio de mercado en planta</t>
  </si>
  <si>
    <t xml:space="preserve">Cobro de contado al despacho</t>
  </si>
  <si>
    <t xml:space="preserve">% (el resto a 30 días)</t>
  </si>
  <si>
    <t xml:space="preserve">Condición de venta: orden de compra previa y pago al despacho</t>
  </si>
  <si>
    <t xml:space="preserve">INVERSIÓN DE CAPITAL Y PARTICIPACIÓN</t>
  </si>
  <si>
    <t xml:space="preserve">$</t>
  </si>
  <si>
    <t xml:space="preserve">Entra en el mes 1. No es préstamo: no se devuelve ni causa intereses</t>
  </si>
  <si>
    <t xml:space="preserve">Participación que adquiere</t>
  </si>
  <si>
    <t xml:space="preserve">% del aserradero</t>
  </si>
  <si>
    <t xml:space="preserve">Todos los activos del aserradero incluidos en la valoración</t>
  </si>
  <si>
    <t xml:space="preserve">Participación de los socios actuales</t>
  </si>
  <si>
    <t xml:space="preserve">Los socios actuales</t>
  </si>
  <si>
    <t xml:space="preserve">$1.000.000 ÷ 20%</t>
  </si>
  <si>
    <t xml:space="preserve">Utilidad declarada para el reparto</t>
  </si>
  <si>
    <t xml:space="preserve">El modelo genera $104,75 por m³; se reparte sobre $100 y la diferencia queda en reserva</t>
  </si>
  <si>
    <t xml:space="preserve">Interés sobre el aporte</t>
  </si>
  <si>
    <t xml:space="preserve">% anual</t>
  </si>
  <si>
    <t xml:space="preserve">No aplica: es capital, no deuda</t>
  </si>
  <si>
    <t xml:space="preserve">Plazo de devolución del aporte</t>
  </si>
  <si>
    <t xml:space="preserve">meses</t>
  </si>
  <si>
    <t xml:space="preserve">No aplica: el capital no se devuelve, se remunera con la participación</t>
  </si>
  <si>
    <t xml:space="preserve">USO DE LOS FONDOS</t>
  </si>
  <si>
    <t xml:space="preserve">Capital de trabajo de la operación</t>
  </si>
  <si>
    <t xml:space="preserve">Queda en caja. La semana 1 exige unos $46.000</t>
  </si>
  <si>
    <t xml:space="preserve">Planta: horno de secado, refrendador, carro para rolas gruesas, afilado</t>
  </si>
  <si>
    <t xml:space="preserve">Se ejecuta en los meses 1 a 3</t>
  </si>
  <si>
    <t xml:space="preserve">Compra del bosque de Arichuna y saldo del título</t>
  </si>
  <si>
    <t xml:space="preserve">Se paga en los meses 1 a 6</t>
  </si>
  <si>
    <t xml:space="preserve">Reserva y estructura (fideicomiso, pólizas, permisos, imprevistos)</t>
  </si>
  <si>
    <t xml:space="preserve">Queda en caja</t>
  </si>
  <si>
    <t xml:space="preserve">ACTIVOS INCLUIDOS EN LA VALORACIÓN</t>
  </si>
  <si>
    <t xml:space="preserve">Aserradero, maquinaria y 361 ha de pino caribe</t>
  </si>
  <si>
    <t xml:space="preserve">Valor declarado por la empresa. Avalúo formal por hacer</t>
  </si>
  <si>
    <t xml:space="preserve">DERIVADOS (fórmulas)</t>
  </si>
  <si>
    <t xml:space="preserve">Rendimiento rola sólida → aserrado</t>
  </si>
  <si>
    <t xml:space="preserve">%</t>
  </si>
  <si>
    <t xml:space="preserve">Madera en pie por m³ aserrado</t>
  </si>
  <si>
    <t xml:space="preserve">Operación forestal por m³ aserrado</t>
  </si>
  <si>
    <t xml:space="preserve">Costo directo por m³ aserrado</t>
  </si>
  <si>
    <t xml:space="preserve">Rola sólida necesaria por mes</t>
  </si>
  <si>
    <t xml:space="preserve">m³ sólido/mes</t>
  </si>
  <si>
    <t xml:space="preserve">ESCENARIOS</t>
  </si>
  <si>
    <t xml:space="preserve">Escenario activo (1 = Conservador · 2 = Medio · 3 = Optimista)</t>
  </si>
  <si>
    <t xml:space="preserve">Palanca</t>
  </si>
  <si>
    <t xml:space="preserve">Conservador</t>
  </si>
  <si>
    <t xml:space="preserve">Medio</t>
  </si>
  <si>
    <t xml:space="preserve">Optimista</t>
  </si>
  <si>
    <t xml:space="preserve">Activo</t>
  </si>
  <si>
    <t xml:space="preserve">Factor de volumen</t>
  </si>
  <si>
    <t xml:space="preserve">Factor de precio</t>
  </si>
  <si>
    <t xml:space="preserve">Cobro de contado (resto a 30 días)</t>
  </si>
  <si>
    <t xml:space="preserve">Flujo de caja mensual · escenario activo</t>
  </si>
  <si>
    <t xml:space="preserve">Mes 1</t>
  </si>
  <si>
    <t xml:space="preserve">Mes 2</t>
  </si>
  <si>
    <t xml:space="preserve">Mes 3</t>
  </si>
  <si>
    <t xml:space="preserve">Mes 4</t>
  </si>
  <si>
    <t xml:space="preserve">Mes 5</t>
  </si>
  <si>
    <t xml:space="preserve">Mes 6</t>
  </si>
  <si>
    <t xml:space="preserve">Mes 7</t>
  </si>
  <si>
    <t xml:space="preserve">Mes 8</t>
  </si>
  <si>
    <t xml:space="preserve">Mes 9</t>
  </si>
  <si>
    <t xml:space="preserve">Mes 10</t>
  </si>
  <si>
    <t xml:space="preserve">Mes 11</t>
  </si>
  <si>
    <t xml:space="preserve">Mes 12</t>
  </si>
  <si>
    <t xml:space="preserve">Mes 13</t>
  </si>
  <si>
    <t xml:space="preserve">Mes 14</t>
  </si>
  <si>
    <t xml:space="preserve">Mes 15</t>
  </si>
  <si>
    <t xml:space="preserve">Mes 16</t>
  </si>
  <si>
    <t xml:space="preserve">Mes 17</t>
  </si>
  <si>
    <t xml:space="preserve">Mes 18</t>
  </si>
  <si>
    <t xml:space="preserve">Mes 19</t>
  </si>
  <si>
    <t xml:space="preserve">Mes 20</t>
  </si>
  <si>
    <t xml:space="preserve">Mes 21</t>
  </si>
  <si>
    <t xml:space="preserve">Mes 22</t>
  </si>
  <si>
    <t xml:space="preserve">Mes 23</t>
  </si>
  <si>
    <t xml:space="preserve">Mes 24</t>
  </si>
  <si>
    <t xml:space="preserve">Total 24 m</t>
  </si>
  <si>
    <t xml:space="preserve">PRODUCCIÓN Y VENTA</t>
  </si>
  <si>
    <t xml:space="preserve">Madera aserrada (m³)</t>
  </si>
  <si>
    <t xml:space="preserve">Ventas ($)</t>
  </si>
  <si>
    <t xml:space="preserve">COBROS</t>
  </si>
  <si>
    <t xml:space="preserve">Cobros (contado del mes + crédito del mes anterior)</t>
  </si>
  <si>
    <t xml:space="preserve">PAGOS</t>
  </si>
  <si>
    <t xml:space="preserve">Madera en pie</t>
  </si>
  <si>
    <t xml:space="preserve">Tumba, roleo, carga y flete</t>
  </si>
  <si>
    <t xml:space="preserve">Otros de planta</t>
  </si>
  <si>
    <t xml:space="preserve">Administración y gerencia</t>
  </si>
  <si>
    <t xml:space="preserve">Arranque único + stock inicial de gasoil</t>
  </si>
  <si>
    <t xml:space="preserve">Total pagos</t>
  </si>
  <si>
    <t xml:space="preserve">FLUJO DE LA OPERACIÓN</t>
  </si>
  <si>
    <t xml:space="preserve">Flujo operativo (cobros − pagos)</t>
  </si>
  <si>
    <t xml:space="preserve">Flujo operativo acumulado (solo la operación)</t>
  </si>
  <si>
    <t xml:space="preserve">EBITDA (ventas − costo directo − administración − arranque)</t>
  </si>
  <si>
    <t xml:space="preserve">APORTE DE CAPITAL Y USO DE LOS FONDOS</t>
  </si>
  <si>
    <t xml:space="preserve">Aporte del inversionista</t>
  </si>
  <si>
    <t xml:space="preserve">Inversión en planta (meses 1 a 3)</t>
  </si>
  <si>
    <t xml:space="preserve">Compra del bosque y saldo del título (meses 1 a 6)</t>
  </si>
  <si>
    <t xml:space="preserve">Total invertido en el mes</t>
  </si>
  <si>
    <t xml:space="preserve">Mes de recuperación (auxiliar)</t>
  </si>
  <si>
    <t xml:space="preserve">REPARTO DE LA UTILIDAD DECLARADA</t>
  </si>
  <si>
    <t xml:space="preserve">Utilidad declarada para reparto (la menor entre $100/m³ y el EBITDA)</t>
  </si>
  <si>
    <t xml:space="preserve">Inversionista (20%)</t>
  </si>
  <si>
    <t xml:space="preserve">Socios actuales (80%)</t>
  </si>
  <si>
    <t xml:space="preserve">A reserva de la empresa (EBITDA − utilidad repartida)</t>
  </si>
  <si>
    <t xml:space="preserve">CAJA</t>
  </si>
  <si>
    <t xml:space="preserve">Flujo neto del mes (operación + aporte − inversión − reparto)</t>
  </si>
  <si>
    <t xml:space="preserve">Caja acumulada</t>
  </si>
  <si>
    <t xml:space="preserve">Flujo de caja semanal · 52 semanas · presupuesto de Jorge (escenario medio)</t>
  </si>
  <si>
    <t xml:space="preserve">Semana</t>
  </si>
  <si>
    <t xml:space="preserve">m³</t>
  </si>
  <si>
    <t xml:space="preserve">Ingresos (cobros)</t>
  </si>
  <si>
    <t xml:space="preserve">Tumba, roleo, carga, flete</t>
  </si>
  <si>
    <t xml:space="preserve">Gasoil (stock)</t>
  </si>
  <si>
    <t xml:space="preserve">Nómina</t>
  </si>
  <si>
    <t xml:space="preserve">Otros + admin</t>
  </si>
  <si>
    <t xml:space="preserve">Arranque</t>
  </si>
  <si>
    <t xml:space="preserve">Total egresos</t>
  </si>
  <si>
    <t xml:space="preserve">Reparto de utilidad</t>
  </si>
  <si>
    <t xml:space="preserve">Flujo neto</t>
  </si>
  <si>
    <t xml:space="preserve">Caja de la operación sola</t>
  </si>
  <si>
    <t xml:space="preserve">Caja con el capital de trabajo</t>
  </si>
  <si>
    <t xml:space="preserve">Valores calculados (snapshot). Contado se cobra la semana siguiente al despacho; el crédito a 30 días, cuatro semanas después.</t>
  </si>
  <si>
    <t xml:space="preserve">Escenarios y sensibilidades (snapshot calculado)</t>
  </si>
  <si>
    <t xml:space="preserve">Escenario</t>
  </si>
  <si>
    <t xml:space="preserve">Caja mínima</t>
  </si>
  <si>
    <t xml:space="preserve">Mes</t>
  </si>
  <si>
    <t xml:space="preserve">Al inversionista por mes</t>
  </si>
  <si>
    <t xml:space="preserve">Ventas 24 m</t>
  </si>
  <si>
    <t xml:space="preserve">EBITDA 24 m</t>
  </si>
  <si>
    <t xml:space="preserve">Caja mes 24</t>
  </si>
  <si>
    <t xml:space="preserve">Sensibilidad al cobro (fondo que exige la semana más apretada · capital que exige a nivel mensual)</t>
  </si>
  <si>
    <t xml:space="preserve">Todo de contado al despacho</t>
  </si>
  <si>
    <t xml:space="preserve">Mitad de contado, mitad a 30 días</t>
  </si>
  <si>
    <t xml:space="preserve">Todo a 30 días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</si>
</sst>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\$#,##0;&quot;($&quot;#,##0\);\-"/>
    <numFmt numFmtId="166" formatCode="0.0%"/>
    <numFmt numFmtId="167" formatCode="#,##0;\(#,##0\);\-"/>
    <numFmt numFmtId="168" formatCode="\$#,##0.00"/>
    <numFmt numFmtId="169" formatCode="0.0"/>
    <numFmt numFmtId="170" formatCode="0"/>
    <numFmt numFmtId="171" formatCode="\$#,##0.00;&quot;($&quot;#,##0.00\);\-"/>
    <numFmt numFmtId="172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E4D2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color rgb="FF1E4D2B"/>
      <name val="Arial"/>
      <family val="0"/>
      <charset val="1"/>
    </font>
    <font>
      <i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E4D2B"/>
        <bgColor rgb="FF333300"/>
      </patternFill>
    </fill>
    <fill>
      <patternFill patternType="solid">
        <fgColor rgb="FFEDF4EA"/>
        <bgColor rgb="FFF5F4EC"/>
      </patternFill>
    </fill>
    <fill>
      <patternFill patternType="solid">
        <fgColor rgb="FFFFFF00"/>
        <bgColor rgb="FFFFFF00"/>
      </patternFill>
    </fill>
    <fill>
      <patternFill patternType="solid">
        <fgColor rgb="FFF5F4EC"/>
        <bgColor rgb="FFEDF4E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4EC"/>
      <rgbColor rgb="FFEDF4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4D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8"/>
    <col collapsed="false" customWidth="true" hidden="false" outlineLevel="0" max="2" min="2" style="0" width="20"/>
  </cols>
  <sheetData>
    <row r="1" customFormat="false" ht="17.35" hidden="false" customHeight="false" outlineLevel="0" collapsed="false">
      <c r="A1" s="1" t="s">
        <v>0</v>
      </c>
    </row>
    <row r="4" customFormat="false" ht="15" hidden="false" customHeight="false" outlineLevel="0" collapsed="false">
      <c r="A4" s="2" t="s">
        <v>1</v>
      </c>
      <c r="B4" s="2" t="s">
        <v>2</v>
      </c>
    </row>
    <row r="5" customFormat="false" ht="15" hidden="false" customHeight="false" outlineLevel="0" collapsed="false">
      <c r="A5" s="0" t="s">
        <v>3</v>
      </c>
      <c r="B5" s="3" t="n">
        <f aca="false">Supuestos!$B$23</f>
        <v>1000000</v>
      </c>
    </row>
    <row r="6" customFormat="false" ht="15" hidden="false" customHeight="false" outlineLevel="0" collapsed="false">
      <c r="A6" s="0" t="s">
        <v>4</v>
      </c>
      <c r="B6" s="4" t="n">
        <f aca="false">Supuestos!$B$24</f>
        <v>0.2</v>
      </c>
    </row>
    <row r="7" customFormat="false" ht="15" hidden="false" customHeight="false" outlineLevel="0" collapsed="false">
      <c r="A7" s="0" t="s">
        <v>5</v>
      </c>
      <c r="B7" s="3" t="n">
        <f aca="false">Supuestos!$B$23/Supuestos!$B$24</f>
        <v>5000000</v>
      </c>
    </row>
    <row r="8" customFormat="false" ht="15" hidden="false" customHeight="false" outlineLevel="0" collapsed="false">
      <c r="A8" s="0" t="s">
        <v>6</v>
      </c>
      <c r="B8" s="3" t="n">
        <f aca="false">Supuestos!$B$23/Supuestos!$B$24-Supuestos!$B$23</f>
        <v>4000000</v>
      </c>
    </row>
    <row r="9" customFormat="false" ht="15" hidden="false" customHeight="false" outlineLevel="0" collapsed="false">
      <c r="A9" s="0" t="s">
        <v>7</v>
      </c>
      <c r="B9" s="3" t="n">
        <f aca="false">Supuestos!$B$36</f>
        <v>2200000</v>
      </c>
    </row>
    <row r="10" customFormat="false" ht="15" hidden="false" customHeight="false" outlineLevel="0" collapsed="false">
      <c r="A10" s="0" t="s">
        <v>8</v>
      </c>
      <c r="B10" s="5" t="n">
        <f aca="false">Supuestos!$B$6</f>
        <v>800</v>
      </c>
    </row>
    <row r="11" customFormat="false" ht="15" hidden="false" customHeight="false" outlineLevel="0" collapsed="false">
      <c r="A11" s="0" t="s">
        <v>9</v>
      </c>
      <c r="B11" s="6" t="n">
        <f aca="false">Supuestos!$B$27</f>
        <v>100</v>
      </c>
    </row>
    <row r="12" customFormat="false" ht="15" hidden="false" customHeight="false" outlineLevel="0" collapsed="false">
      <c r="A12" s="0" t="s">
        <v>10</v>
      </c>
      <c r="B12" s="3" t="n">
        <f aca="false">Supuestos!$B$6*Supuestos!$B$27</f>
        <v>80000</v>
      </c>
    </row>
    <row r="13" customFormat="false" ht="15" hidden="false" customHeight="false" outlineLevel="0" collapsed="false">
      <c r="A13" s="0" t="s">
        <v>11</v>
      </c>
      <c r="B13" s="3" t="n">
        <f aca="false">B12*Supuestos!$B$24</f>
        <v>16000</v>
      </c>
    </row>
    <row r="14" customFormat="false" ht="15" hidden="false" customHeight="false" outlineLevel="0" collapsed="false">
      <c r="A14" s="0" t="s">
        <v>12</v>
      </c>
      <c r="B14" s="3" t="n">
        <f aca="false">B13*12</f>
        <v>192000</v>
      </c>
    </row>
    <row r="15" customFormat="false" ht="15" hidden="false" customHeight="false" outlineLevel="0" collapsed="false">
      <c r="A15" s="0" t="s">
        <v>13</v>
      </c>
      <c r="B15" s="4" t="n">
        <f aca="false">B14/Supuestos!$B$23</f>
        <v>0.192</v>
      </c>
    </row>
    <row r="16" customFormat="false" ht="15" hidden="false" customHeight="false" outlineLevel="0" collapsed="false">
      <c r="A16" s="0" t="s">
        <v>14</v>
      </c>
      <c r="B16" s="7" t="n">
        <f aca="false">Supuestos!$B$23/B14</f>
        <v>5.20833333333333</v>
      </c>
    </row>
    <row r="17" customFormat="false" ht="15" hidden="false" customHeight="false" outlineLevel="0" collapsed="false">
      <c r="A17" s="0" t="s">
        <v>15</v>
      </c>
      <c r="B17" s="3" t="n">
        <f aca="false">INDEX('Flujo mensual'!$B$22:$Y$22,1,2)</f>
        <v>83798.6928104575</v>
      </c>
    </row>
    <row r="18" customFormat="false" ht="15" hidden="false" customHeight="false" outlineLevel="0" collapsed="false">
      <c r="A18" s="0" t="s">
        <v>16</v>
      </c>
      <c r="B18" s="3" t="n">
        <f aca="false">MIN('Flujo mensual'!$B$36:$Y$36)</f>
        <v>484993.464052288</v>
      </c>
    </row>
    <row r="19" customFormat="false" ht="15" hidden="false" customHeight="false" outlineLevel="0" collapsed="false">
      <c r="A19" s="0" t="s">
        <v>17</v>
      </c>
      <c r="B19" s="8" t="n">
        <f aca="false">MATCH(MIN('Flujo mensual'!$B$36:$Y$36),'Flujo mensual'!$B$36:$Y$36,0)</f>
        <v>6</v>
      </c>
    </row>
    <row r="20" customFormat="false" ht="15" hidden="false" customHeight="false" outlineLevel="0" collapsed="false">
      <c r="A20" s="0" t="s">
        <v>18</v>
      </c>
      <c r="B20" s="3" t="n">
        <f aca="false">-MIN('Flujo mensual'!$B$21:$Y$21)</f>
        <v>-66798.6928104575</v>
      </c>
    </row>
    <row r="21" customFormat="false" ht="15" hidden="false" customHeight="false" outlineLevel="0" collapsed="false">
      <c r="A21" s="0" t="s">
        <v>19</v>
      </c>
      <c r="B21" s="8" t="n">
        <f aca="false">IF(MIN('Flujo mensual'!$B$28:$Y$28)=999,"&gt; 24",MIN('Flujo mensual'!$B$28:$Y$28))</f>
        <v>1</v>
      </c>
    </row>
    <row r="22" customFormat="false" ht="15" hidden="false" customHeight="false" outlineLevel="0" collapsed="false">
      <c r="A22" s="0" t="s">
        <v>20</v>
      </c>
      <c r="B22" s="3" t="n">
        <f aca="false">SUM('Flujo mensual'!$B$7:$Y$7)</f>
        <v>4992000</v>
      </c>
    </row>
    <row r="23" customFormat="false" ht="15" hidden="false" customHeight="false" outlineLevel="0" collapsed="false">
      <c r="A23" s="0" t="s">
        <v>21</v>
      </c>
      <c r="B23" s="3" t="n">
        <f aca="false">SUM('Flujo mensual'!$B$22:$Y$22)</f>
        <v>2003168.62745098</v>
      </c>
    </row>
    <row r="24" customFormat="false" ht="15" hidden="false" customHeight="false" outlineLevel="0" collapsed="false">
      <c r="A24" s="0" t="s">
        <v>22</v>
      </c>
      <c r="B24" s="3" t="n">
        <f aca="false">SUM('Flujo mensual'!$B$30:$Y$30)</f>
        <v>1915798.69281046</v>
      </c>
    </row>
    <row r="25" customFormat="false" ht="15" hidden="false" customHeight="false" outlineLevel="0" collapsed="false">
      <c r="A25" s="0" t="s">
        <v>23</v>
      </c>
      <c r="B25" s="3" t="n">
        <f aca="false">SUM('Flujo mensual'!$B$31:$Y$31)</f>
        <v>383159.738562092</v>
      </c>
    </row>
    <row r="26" customFormat="false" ht="15" hidden="false" customHeight="false" outlineLevel="0" collapsed="false">
      <c r="A26" s="0" t="s">
        <v>24</v>
      </c>
      <c r="B26" s="3" t="n">
        <f aca="false">SUM('Flujo mensual'!$B$32:$Y$32)</f>
        <v>1532638.95424837</v>
      </c>
    </row>
    <row r="27" customFormat="false" ht="15" hidden="false" customHeight="false" outlineLevel="0" collapsed="false">
      <c r="A27" s="0" t="s">
        <v>25</v>
      </c>
      <c r="B27" s="3" t="n">
        <f aca="false">SUM('Flujo mensual'!$B$33:$Y$33)</f>
        <v>87369.934640523</v>
      </c>
    </row>
    <row r="28" customFormat="false" ht="15" hidden="false" customHeight="false" outlineLevel="0" collapsed="false">
      <c r="A28" s="0" t="s">
        <v>26</v>
      </c>
      <c r="B28" s="3" t="n">
        <f aca="false">INDEX('Flujo mensual'!$B$36:$Y$36,1,24)</f>
        <v>553369.934640523</v>
      </c>
    </row>
    <row r="31" customFormat="false" ht="15" hidden="false" customHeight="false" outlineLevel="0" collapsed="false">
      <c r="A31" s="9" t="s">
        <v>27</v>
      </c>
    </row>
    <row r="32" customFormat="false" ht="15" hidden="false" customHeight="false" outlineLevel="0" collapsed="false">
      <c r="A32" s="0" t="s">
        <v>28</v>
      </c>
      <c r="B32" s="10" t="n">
        <f aca="false">Supuestos!$B$20</f>
        <v>260</v>
      </c>
    </row>
    <row r="33" customFormat="false" ht="15" hidden="false" customHeight="false" outlineLevel="0" collapsed="false">
      <c r="A33" s="0" t="s">
        <v>29</v>
      </c>
      <c r="B33" s="10" t="n">
        <f aca="false">-Supuestos!$B$40</f>
        <v>-45.7516339869281</v>
      </c>
    </row>
    <row r="34" customFormat="false" ht="15" hidden="false" customHeight="false" outlineLevel="0" collapsed="false">
      <c r="A34" s="0" t="s">
        <v>30</v>
      </c>
      <c r="B34" s="10" t="n">
        <f aca="false">-Supuestos!$B$41</f>
        <v>-63</v>
      </c>
    </row>
    <row r="35" customFormat="false" ht="15" hidden="false" customHeight="false" outlineLevel="0" collapsed="false">
      <c r="A35" s="0" t="s">
        <v>31</v>
      </c>
      <c r="B35" s="10" t="n">
        <f aca="false">-Supuestos!$B$13</f>
        <v>-9</v>
      </c>
    </row>
    <row r="36" customFormat="false" ht="15" hidden="false" customHeight="false" outlineLevel="0" collapsed="false">
      <c r="A36" s="0" t="s">
        <v>32</v>
      </c>
      <c r="B36" s="10" t="n">
        <f aca="false">-Supuestos!$B$14</f>
        <v>-25</v>
      </c>
    </row>
    <row r="37" customFormat="false" ht="15" hidden="false" customHeight="false" outlineLevel="0" collapsed="false">
      <c r="A37" s="0" t="s">
        <v>33</v>
      </c>
      <c r="B37" s="10" t="n">
        <f aca="false">-Supuestos!$B$15</f>
        <v>-2.5</v>
      </c>
    </row>
    <row r="38" customFormat="false" ht="15" hidden="false" customHeight="false" outlineLevel="0" collapsed="false">
      <c r="A38" s="0" t="s">
        <v>34</v>
      </c>
      <c r="B38" s="10" t="n">
        <f aca="false">Supuestos!$B$43</f>
        <v>114.748366013072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6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6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1" t="s">
        <v>35</v>
      </c>
    </row>
    <row r="2" customFormat="false" ht="15" hidden="false" customHeight="false" outlineLevel="0" collapsed="false">
      <c r="A2" s="11" t="s">
        <v>36</v>
      </c>
    </row>
    <row r="4" customFormat="false" ht="15" hidden="false" customHeight="false" outlineLevel="0" collapsed="false">
      <c r="A4" s="2" t="s">
        <v>37</v>
      </c>
      <c r="B4" s="2" t="s">
        <v>2</v>
      </c>
      <c r="C4" s="2" t="s">
        <v>38</v>
      </c>
      <c r="D4" s="2" t="s">
        <v>39</v>
      </c>
    </row>
    <row r="5" customFormat="false" ht="15" hidden="false" customHeight="false" outlineLevel="0" collapsed="false">
      <c r="A5" s="9" t="s">
        <v>40</v>
      </c>
    </row>
    <row r="6" customFormat="false" ht="15" hidden="false" customHeight="false" outlineLevel="0" collapsed="false">
      <c r="A6" s="0" t="s">
        <v>41</v>
      </c>
      <c r="B6" s="12" t="n">
        <v>800</v>
      </c>
      <c r="C6" s="0" t="s">
        <v>42</v>
      </c>
      <c r="D6" s="13" t="s">
        <v>43</v>
      </c>
    </row>
    <row r="7" customFormat="false" ht="15" hidden="false" customHeight="false" outlineLevel="0" collapsed="false">
      <c r="A7" s="0" t="s">
        <v>44</v>
      </c>
      <c r="B7" s="12" t="n">
        <v>3.5</v>
      </c>
      <c r="C7" s="0" t="s">
        <v>45</v>
      </c>
      <c r="D7" s="13" t="s">
        <v>46</v>
      </c>
    </row>
    <row r="8" customFormat="false" ht="15" hidden="false" customHeight="false" outlineLevel="0" collapsed="false">
      <c r="A8" s="0" t="s">
        <v>47</v>
      </c>
      <c r="B8" s="12" t="n">
        <v>1.53</v>
      </c>
      <c r="C8" s="0" t="s">
        <v>48</v>
      </c>
      <c r="D8" s="13" t="s">
        <v>49</v>
      </c>
    </row>
    <row r="9" customFormat="false" ht="15" hidden="false" customHeight="false" outlineLevel="0" collapsed="false">
      <c r="A9" s="0" t="s">
        <v>50</v>
      </c>
      <c r="B9" s="14" t="n">
        <v>1</v>
      </c>
      <c r="C9" s="0" t="s">
        <v>51</v>
      </c>
      <c r="D9" s="13" t="s">
        <v>52</v>
      </c>
    </row>
    <row r="10" customFormat="false" ht="15" hidden="false" customHeight="false" outlineLevel="0" collapsed="false">
      <c r="A10" s="9" t="s">
        <v>53</v>
      </c>
    </row>
    <row r="11" customFormat="false" ht="15" hidden="false" customHeight="false" outlineLevel="0" collapsed="false">
      <c r="A11" s="0" t="s">
        <v>54</v>
      </c>
      <c r="B11" s="15" t="n">
        <v>20</v>
      </c>
      <c r="C11" s="0" t="s">
        <v>55</v>
      </c>
      <c r="D11" s="13" t="s">
        <v>56</v>
      </c>
    </row>
    <row r="12" customFormat="false" ht="15" hidden="false" customHeight="false" outlineLevel="0" collapsed="false">
      <c r="A12" s="0" t="s">
        <v>57</v>
      </c>
      <c r="B12" s="15" t="n">
        <v>18</v>
      </c>
      <c r="C12" s="0" t="s">
        <v>58</v>
      </c>
      <c r="D12" s="13" t="s">
        <v>59</v>
      </c>
    </row>
    <row r="13" customFormat="false" ht="15" hidden="false" customHeight="false" outlineLevel="0" collapsed="false">
      <c r="A13" s="0" t="s">
        <v>60</v>
      </c>
      <c r="B13" s="15" t="n">
        <v>9</v>
      </c>
      <c r="C13" s="0" t="s">
        <v>61</v>
      </c>
      <c r="D13" s="13" t="s">
        <v>62</v>
      </c>
    </row>
    <row r="14" customFormat="false" ht="15" hidden="false" customHeight="false" outlineLevel="0" collapsed="false">
      <c r="A14" s="0" t="s">
        <v>63</v>
      </c>
      <c r="B14" s="15" t="n">
        <v>25</v>
      </c>
      <c r="C14" s="0" t="s">
        <v>61</v>
      </c>
      <c r="D14" s="13" t="s">
        <v>63</v>
      </c>
    </row>
    <row r="15" customFormat="false" ht="15" hidden="false" customHeight="false" outlineLevel="0" collapsed="false">
      <c r="A15" s="0" t="s">
        <v>64</v>
      </c>
      <c r="B15" s="15" t="n">
        <v>2.5</v>
      </c>
      <c r="C15" s="0" t="s">
        <v>61</v>
      </c>
      <c r="D15" s="13" t="s">
        <v>65</v>
      </c>
    </row>
    <row r="16" customFormat="false" ht="15" hidden="false" customHeight="false" outlineLevel="0" collapsed="false">
      <c r="A16" s="0" t="s">
        <v>66</v>
      </c>
      <c r="B16" s="15" t="n">
        <v>8000</v>
      </c>
      <c r="C16" s="0" t="s">
        <v>67</v>
      </c>
      <c r="D16" s="13" t="s">
        <v>68</v>
      </c>
    </row>
    <row r="17" customFormat="false" ht="15" hidden="false" customHeight="false" outlineLevel="0" collapsed="false">
      <c r="A17" s="0" t="s">
        <v>69</v>
      </c>
      <c r="B17" s="16" t="n">
        <v>8000</v>
      </c>
      <c r="C17" s="0" t="s">
        <v>70</v>
      </c>
      <c r="D17" s="13" t="s">
        <v>46</v>
      </c>
    </row>
    <row r="18" customFormat="false" ht="15" hidden="false" customHeight="false" outlineLevel="0" collapsed="false">
      <c r="A18" s="0" t="s">
        <v>71</v>
      </c>
      <c r="B18" s="16" t="n">
        <v>9000</v>
      </c>
      <c r="C18" s="0" t="s">
        <v>70</v>
      </c>
      <c r="D18" s="13" t="s">
        <v>72</v>
      </c>
    </row>
    <row r="19" customFormat="false" ht="15" hidden="false" customHeight="false" outlineLevel="0" collapsed="false">
      <c r="A19" s="9" t="s">
        <v>73</v>
      </c>
    </row>
    <row r="20" customFormat="false" ht="15" hidden="false" customHeight="false" outlineLevel="0" collapsed="false">
      <c r="A20" s="0" t="s">
        <v>74</v>
      </c>
      <c r="B20" s="15" t="n">
        <v>260</v>
      </c>
      <c r="C20" s="0" t="s">
        <v>61</v>
      </c>
      <c r="D20" s="13" t="s">
        <v>75</v>
      </c>
    </row>
    <row r="21" customFormat="false" ht="15" hidden="false" customHeight="false" outlineLevel="0" collapsed="false">
      <c r="A21" s="0" t="s">
        <v>76</v>
      </c>
      <c r="B21" s="14" t="n">
        <v>1</v>
      </c>
      <c r="C21" s="0" t="s">
        <v>77</v>
      </c>
      <c r="D21" s="13" t="s">
        <v>78</v>
      </c>
    </row>
    <row r="22" customFormat="false" ht="15" hidden="false" customHeight="false" outlineLevel="0" collapsed="false">
      <c r="A22" s="9" t="s">
        <v>79</v>
      </c>
    </row>
    <row r="23" customFormat="false" ht="15" hidden="false" customHeight="false" outlineLevel="0" collapsed="false">
      <c r="A23" s="0" t="s">
        <v>3</v>
      </c>
      <c r="B23" s="16" t="n">
        <v>1000000</v>
      </c>
      <c r="C23" s="0" t="s">
        <v>80</v>
      </c>
      <c r="D23" s="13" t="s">
        <v>81</v>
      </c>
    </row>
    <row r="24" customFormat="false" ht="15" hidden="false" customHeight="false" outlineLevel="0" collapsed="false">
      <c r="A24" s="0" t="s">
        <v>82</v>
      </c>
      <c r="B24" s="14" t="n">
        <v>0.2</v>
      </c>
      <c r="C24" s="0" t="s">
        <v>83</v>
      </c>
      <c r="D24" s="13" t="s">
        <v>84</v>
      </c>
    </row>
    <row r="25" customFormat="false" ht="15" hidden="false" customHeight="false" outlineLevel="0" collapsed="false">
      <c r="A25" s="0" t="s">
        <v>85</v>
      </c>
      <c r="B25" s="14" t="n">
        <v>0.8</v>
      </c>
      <c r="C25" s="0" t="s">
        <v>83</v>
      </c>
      <c r="D25" s="13" t="s">
        <v>86</v>
      </c>
    </row>
    <row r="26" customFormat="false" ht="15" hidden="false" customHeight="false" outlineLevel="0" collapsed="false">
      <c r="A26" s="0" t="s">
        <v>5</v>
      </c>
      <c r="B26" s="16" t="n">
        <v>5000000</v>
      </c>
      <c r="C26" s="0" t="s">
        <v>80</v>
      </c>
      <c r="D26" s="13" t="s">
        <v>87</v>
      </c>
    </row>
    <row r="27" customFormat="false" ht="15" hidden="false" customHeight="false" outlineLevel="0" collapsed="false">
      <c r="A27" s="0" t="s">
        <v>88</v>
      </c>
      <c r="B27" s="15" t="n">
        <v>100</v>
      </c>
      <c r="C27" s="0" t="s">
        <v>61</v>
      </c>
      <c r="D27" s="13" t="s">
        <v>89</v>
      </c>
    </row>
    <row r="28" customFormat="false" ht="15" hidden="false" customHeight="false" outlineLevel="0" collapsed="false">
      <c r="A28" s="0" t="s">
        <v>90</v>
      </c>
      <c r="B28" s="14" t="n">
        <v>0</v>
      </c>
      <c r="C28" s="0" t="s">
        <v>91</v>
      </c>
      <c r="D28" s="13" t="s">
        <v>92</v>
      </c>
    </row>
    <row r="29" customFormat="false" ht="15" hidden="false" customHeight="false" outlineLevel="0" collapsed="false">
      <c r="A29" s="0" t="s">
        <v>93</v>
      </c>
      <c r="B29" s="12" t="n">
        <v>0</v>
      </c>
      <c r="C29" s="0" t="s">
        <v>94</v>
      </c>
      <c r="D29" s="13" t="s">
        <v>95</v>
      </c>
    </row>
    <row r="30" customFormat="false" ht="15" hidden="false" customHeight="false" outlineLevel="0" collapsed="false">
      <c r="A30" s="9" t="s">
        <v>96</v>
      </c>
    </row>
    <row r="31" customFormat="false" ht="15" hidden="false" customHeight="false" outlineLevel="0" collapsed="false">
      <c r="A31" s="0" t="s">
        <v>97</v>
      </c>
      <c r="B31" s="16" t="n">
        <v>150000</v>
      </c>
      <c r="C31" s="0" t="s">
        <v>80</v>
      </c>
      <c r="D31" s="13" t="s">
        <v>98</v>
      </c>
    </row>
    <row r="32" customFormat="false" ht="15" hidden="false" customHeight="false" outlineLevel="0" collapsed="false">
      <c r="A32" s="0" t="s">
        <v>99</v>
      </c>
      <c r="B32" s="16" t="n">
        <v>250000</v>
      </c>
      <c r="C32" s="0" t="s">
        <v>80</v>
      </c>
      <c r="D32" s="13" t="s">
        <v>100</v>
      </c>
    </row>
    <row r="33" customFormat="false" ht="15" hidden="false" customHeight="false" outlineLevel="0" collapsed="false">
      <c r="A33" s="0" t="s">
        <v>101</v>
      </c>
      <c r="B33" s="16" t="n">
        <v>275000</v>
      </c>
      <c r="C33" s="0" t="s">
        <v>80</v>
      </c>
      <c r="D33" s="13" t="s">
        <v>102</v>
      </c>
    </row>
    <row r="34" customFormat="false" ht="15" hidden="false" customHeight="false" outlineLevel="0" collapsed="false">
      <c r="A34" s="0" t="s">
        <v>103</v>
      </c>
      <c r="B34" s="16" t="n">
        <v>325000</v>
      </c>
      <c r="C34" s="0" t="s">
        <v>80</v>
      </c>
      <c r="D34" s="13" t="s">
        <v>104</v>
      </c>
    </row>
    <row r="35" customFormat="false" ht="15" hidden="false" customHeight="false" outlineLevel="0" collapsed="false">
      <c r="A35" s="9" t="s">
        <v>105</v>
      </c>
    </row>
    <row r="36" customFormat="false" ht="15" hidden="false" customHeight="false" outlineLevel="0" collapsed="false">
      <c r="A36" s="0" t="s">
        <v>106</v>
      </c>
      <c r="B36" s="16" t="n">
        <v>2200000</v>
      </c>
      <c r="C36" s="0" t="s">
        <v>80</v>
      </c>
      <c r="D36" s="13" t="s">
        <v>107</v>
      </c>
    </row>
    <row r="38" customFormat="false" ht="15" hidden="false" customHeight="false" outlineLevel="0" collapsed="false">
      <c r="A38" s="9" t="s">
        <v>108</v>
      </c>
    </row>
    <row r="39" customFormat="false" ht="15" hidden="false" customHeight="false" outlineLevel="0" collapsed="false">
      <c r="A39" s="0" t="s">
        <v>109</v>
      </c>
      <c r="B39" s="17" t="n">
        <f aca="false">Supuestos!$B$8/Supuestos!$B$7</f>
        <v>0.437142857142857</v>
      </c>
      <c r="C39" s="0" t="s">
        <v>110</v>
      </c>
    </row>
    <row r="40" customFormat="false" ht="15" hidden="false" customHeight="false" outlineLevel="0" collapsed="false">
      <c r="A40" s="0" t="s">
        <v>111</v>
      </c>
      <c r="B40" s="18" t="n">
        <f aca="false">Supuestos!$B$11*Supuestos!$B$7/Supuestos!$B$8</f>
        <v>45.7516339869281</v>
      </c>
      <c r="C40" s="0" t="s">
        <v>61</v>
      </c>
    </row>
    <row r="41" customFormat="false" ht="15" hidden="false" customHeight="false" outlineLevel="0" collapsed="false">
      <c r="A41" s="0" t="s">
        <v>112</v>
      </c>
      <c r="B41" s="18" t="n">
        <f aca="false">Supuestos!$B$12*Supuestos!$B$7</f>
        <v>63</v>
      </c>
      <c r="C41" s="0" t="s">
        <v>61</v>
      </c>
    </row>
    <row r="42" customFormat="false" ht="15" hidden="false" customHeight="false" outlineLevel="0" collapsed="false">
      <c r="A42" s="0" t="s">
        <v>113</v>
      </c>
      <c r="B42" s="18" t="n">
        <f aca="false">Supuestos!$B$40+Supuestos!$B$41+Supuestos!$B$13+Supuestos!$B$14+Supuestos!$B$15</f>
        <v>145.251633986928</v>
      </c>
      <c r="C42" s="0" t="s">
        <v>61</v>
      </c>
    </row>
    <row r="43" customFormat="false" ht="15" hidden="false" customHeight="false" outlineLevel="0" collapsed="false">
      <c r="A43" s="0" t="s">
        <v>34</v>
      </c>
      <c r="B43" s="18" t="n">
        <f aca="false">Supuestos!$B$20-Supuestos!$B$42</f>
        <v>114.748366013072</v>
      </c>
      <c r="C43" s="0" t="s">
        <v>61</v>
      </c>
    </row>
    <row r="44" customFormat="false" ht="15" hidden="false" customHeight="false" outlineLevel="0" collapsed="false">
      <c r="A44" s="0" t="s">
        <v>114</v>
      </c>
      <c r="B44" s="19" t="n">
        <f aca="false">Supuestos!$B$6*Supuestos!$B$7/Supuestos!$B$8</f>
        <v>1830.06535947712</v>
      </c>
      <c r="C44" s="0" t="s">
        <v>115</v>
      </c>
    </row>
    <row r="46" customFormat="false" ht="15" hidden="false" customHeight="false" outlineLevel="0" collapsed="false">
      <c r="A46" s="9" t="s">
        <v>116</v>
      </c>
    </row>
    <row r="47" customFormat="false" ht="15" hidden="false" customHeight="false" outlineLevel="0" collapsed="false">
      <c r="A47" s="0" t="s">
        <v>117</v>
      </c>
      <c r="B47" s="20" t="n">
        <v>2</v>
      </c>
    </row>
    <row r="48" customFormat="false" ht="15" hidden="false" customHeight="false" outlineLevel="0" collapsed="false">
      <c r="A48" s="2" t="s">
        <v>118</v>
      </c>
      <c r="B48" s="2" t="s">
        <v>119</v>
      </c>
      <c r="C48" s="2" t="s">
        <v>120</v>
      </c>
      <c r="D48" s="2" t="s">
        <v>121</v>
      </c>
      <c r="E48" s="2" t="s">
        <v>122</v>
      </c>
    </row>
    <row r="49" customFormat="false" ht="15" hidden="false" customHeight="false" outlineLevel="0" collapsed="false">
      <c r="A49" s="0" t="s">
        <v>123</v>
      </c>
      <c r="B49" s="14" t="n">
        <v>0.7</v>
      </c>
      <c r="C49" s="14" t="n">
        <v>1</v>
      </c>
      <c r="D49" s="14" t="n">
        <v>1.15</v>
      </c>
      <c r="E49" s="17" t="n">
        <f aca="false">INDEX($B$49:$D$49,1,Supuestos!$B$47)</f>
        <v>1</v>
      </c>
    </row>
    <row r="50" customFormat="false" ht="15" hidden="false" customHeight="false" outlineLevel="0" collapsed="false">
      <c r="A50" s="0" t="s">
        <v>124</v>
      </c>
      <c r="B50" s="14" t="n">
        <v>0.9</v>
      </c>
      <c r="C50" s="14" t="n">
        <v>1</v>
      </c>
      <c r="D50" s="14" t="n">
        <v>1.05</v>
      </c>
      <c r="E50" s="17" t="n">
        <f aca="false">INDEX($B$50:$D$50,1,Supuestos!$B$47)</f>
        <v>1</v>
      </c>
    </row>
    <row r="51" customFormat="false" ht="15" hidden="false" customHeight="false" outlineLevel="0" collapsed="false">
      <c r="A51" s="0" t="s">
        <v>125</v>
      </c>
      <c r="B51" s="14" t="n">
        <v>0.5</v>
      </c>
      <c r="C51" s="14" t="n">
        <v>1</v>
      </c>
      <c r="D51" s="14" t="n">
        <v>1</v>
      </c>
      <c r="E51" s="17" t="n">
        <f aca="false">INDEX($B$51:$D$51,1,Supuestos!$B$47)</f>
        <v>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8"/>
    <col collapsed="false" customWidth="true" hidden="false" outlineLevel="0" max="26" min="2" style="0" width="12"/>
  </cols>
  <sheetData>
    <row r="1" customFormat="false" ht="17.35" hidden="false" customHeight="false" outlineLevel="0" collapsed="false">
      <c r="A1" s="1" t="s">
        <v>126</v>
      </c>
    </row>
    <row r="4" customFormat="false" ht="15" hidden="false" customHeight="false" outlineLevel="0" collapsed="false">
      <c r="A4" s="2" t="s">
        <v>37</v>
      </c>
      <c r="B4" s="21" t="s">
        <v>127</v>
      </c>
      <c r="C4" s="21" t="s">
        <v>128</v>
      </c>
      <c r="D4" s="21" t="s">
        <v>129</v>
      </c>
      <c r="E4" s="21" t="s">
        <v>130</v>
      </c>
      <c r="F4" s="21" t="s">
        <v>131</v>
      </c>
      <c r="G4" s="21" t="s">
        <v>132</v>
      </c>
      <c r="H4" s="21" t="s">
        <v>133</v>
      </c>
      <c r="I4" s="21" t="s">
        <v>134</v>
      </c>
      <c r="J4" s="21" t="s">
        <v>135</v>
      </c>
      <c r="K4" s="21" t="s">
        <v>136</v>
      </c>
      <c r="L4" s="21" t="s">
        <v>137</v>
      </c>
      <c r="M4" s="21" t="s">
        <v>138</v>
      </c>
      <c r="N4" s="21" t="s">
        <v>139</v>
      </c>
      <c r="O4" s="21" t="s">
        <v>140</v>
      </c>
      <c r="P4" s="21" t="s">
        <v>141</v>
      </c>
      <c r="Q4" s="21" t="s">
        <v>142</v>
      </c>
      <c r="R4" s="21" t="s">
        <v>143</v>
      </c>
      <c r="S4" s="21" t="s">
        <v>144</v>
      </c>
      <c r="T4" s="21" t="s">
        <v>145</v>
      </c>
      <c r="U4" s="21" t="s">
        <v>146</v>
      </c>
      <c r="V4" s="21" t="s">
        <v>147</v>
      </c>
      <c r="W4" s="21" t="s">
        <v>148</v>
      </c>
      <c r="X4" s="21" t="s">
        <v>149</v>
      </c>
      <c r="Y4" s="21" t="s">
        <v>150</v>
      </c>
      <c r="Z4" s="2" t="s">
        <v>151</v>
      </c>
    </row>
    <row r="5" customFormat="false" ht="15" hidden="false" customHeight="false" outlineLevel="0" collapsed="false">
      <c r="A5" s="9" t="s">
        <v>152</v>
      </c>
    </row>
    <row r="6" customFormat="false" ht="15" hidden="false" customHeight="false" outlineLevel="0" collapsed="false">
      <c r="A6" s="22" t="s">
        <v>153</v>
      </c>
      <c r="B6" s="23" t="n">
        <f aca="false">Supuestos!$B$6*Supuestos!$E$49*Supuestos!$B$9</f>
        <v>800</v>
      </c>
      <c r="C6" s="23" t="n">
        <f aca="false">Supuestos!$B$6*Supuestos!$E$49*1</f>
        <v>800</v>
      </c>
      <c r="D6" s="23" t="n">
        <f aca="false">Supuestos!$B$6*Supuestos!$E$49*1</f>
        <v>800</v>
      </c>
      <c r="E6" s="23" t="n">
        <f aca="false">Supuestos!$B$6*Supuestos!$E$49*1</f>
        <v>800</v>
      </c>
      <c r="F6" s="23" t="n">
        <f aca="false">Supuestos!$B$6*Supuestos!$E$49*1</f>
        <v>800</v>
      </c>
      <c r="G6" s="23" t="n">
        <f aca="false">Supuestos!$B$6*Supuestos!$E$49*1</f>
        <v>800</v>
      </c>
      <c r="H6" s="23" t="n">
        <f aca="false">Supuestos!$B$6*Supuestos!$E$49*1</f>
        <v>800</v>
      </c>
      <c r="I6" s="23" t="n">
        <f aca="false">Supuestos!$B$6*Supuestos!$E$49*1</f>
        <v>800</v>
      </c>
      <c r="J6" s="23" t="n">
        <f aca="false">Supuestos!$B$6*Supuestos!$E$49*1</f>
        <v>800</v>
      </c>
      <c r="K6" s="23" t="n">
        <f aca="false">Supuestos!$B$6*Supuestos!$E$49*1</f>
        <v>800</v>
      </c>
      <c r="L6" s="23" t="n">
        <f aca="false">Supuestos!$B$6*Supuestos!$E$49*1</f>
        <v>800</v>
      </c>
      <c r="M6" s="23" t="n">
        <f aca="false">Supuestos!$B$6*Supuestos!$E$49*1</f>
        <v>800</v>
      </c>
      <c r="N6" s="23" t="n">
        <f aca="false">Supuestos!$B$6*Supuestos!$E$49*1</f>
        <v>800</v>
      </c>
      <c r="O6" s="23" t="n">
        <f aca="false">Supuestos!$B$6*Supuestos!$E$49*1</f>
        <v>800</v>
      </c>
      <c r="P6" s="23" t="n">
        <f aca="false">Supuestos!$B$6*Supuestos!$E$49*1</f>
        <v>800</v>
      </c>
      <c r="Q6" s="23" t="n">
        <f aca="false">Supuestos!$B$6*Supuestos!$E$49*1</f>
        <v>800</v>
      </c>
      <c r="R6" s="23" t="n">
        <f aca="false">Supuestos!$B$6*Supuestos!$E$49*1</f>
        <v>800</v>
      </c>
      <c r="S6" s="23" t="n">
        <f aca="false">Supuestos!$B$6*Supuestos!$E$49*1</f>
        <v>800</v>
      </c>
      <c r="T6" s="23" t="n">
        <f aca="false">Supuestos!$B$6*Supuestos!$E$49*1</f>
        <v>800</v>
      </c>
      <c r="U6" s="23" t="n">
        <f aca="false">Supuestos!$B$6*Supuestos!$E$49*1</f>
        <v>800</v>
      </c>
      <c r="V6" s="23" t="n">
        <f aca="false">Supuestos!$B$6*Supuestos!$E$49*1</f>
        <v>800</v>
      </c>
      <c r="W6" s="23" t="n">
        <f aca="false">Supuestos!$B$6*Supuestos!$E$49*1</f>
        <v>800</v>
      </c>
      <c r="X6" s="23" t="n">
        <f aca="false">Supuestos!$B$6*Supuestos!$E$49*1</f>
        <v>800</v>
      </c>
      <c r="Y6" s="23" t="n">
        <f aca="false">Supuestos!$B$6*Supuestos!$E$49*1</f>
        <v>800</v>
      </c>
      <c r="Z6" s="24" t="n">
        <f aca="false">SUM(B6:Y6)</f>
        <v>19200</v>
      </c>
    </row>
    <row r="7" customFormat="false" ht="15" hidden="false" customHeight="false" outlineLevel="0" collapsed="false">
      <c r="A7" s="25" t="s">
        <v>154</v>
      </c>
      <c r="B7" s="26" t="n">
        <f aca="false">B6*Supuestos!$B$20*Supuestos!$E$50</f>
        <v>208000</v>
      </c>
      <c r="C7" s="26" t="n">
        <f aca="false">C6*Supuestos!$B$20*Supuestos!$E$50</f>
        <v>208000</v>
      </c>
      <c r="D7" s="26" t="n">
        <f aca="false">D6*Supuestos!$B$20*Supuestos!$E$50</f>
        <v>208000</v>
      </c>
      <c r="E7" s="26" t="n">
        <f aca="false">E6*Supuestos!$B$20*Supuestos!$E$50</f>
        <v>208000</v>
      </c>
      <c r="F7" s="26" t="n">
        <f aca="false">F6*Supuestos!$B$20*Supuestos!$E$50</f>
        <v>208000</v>
      </c>
      <c r="G7" s="26" t="n">
        <f aca="false">G6*Supuestos!$B$20*Supuestos!$E$50</f>
        <v>208000</v>
      </c>
      <c r="H7" s="26" t="n">
        <f aca="false">H6*Supuestos!$B$20*Supuestos!$E$50</f>
        <v>208000</v>
      </c>
      <c r="I7" s="26" t="n">
        <f aca="false">I6*Supuestos!$B$20*Supuestos!$E$50</f>
        <v>208000</v>
      </c>
      <c r="J7" s="26" t="n">
        <f aca="false">J6*Supuestos!$B$20*Supuestos!$E$50</f>
        <v>208000</v>
      </c>
      <c r="K7" s="26" t="n">
        <f aca="false">K6*Supuestos!$B$20*Supuestos!$E$50</f>
        <v>208000</v>
      </c>
      <c r="L7" s="26" t="n">
        <f aca="false">L6*Supuestos!$B$20*Supuestos!$E$50</f>
        <v>208000</v>
      </c>
      <c r="M7" s="26" t="n">
        <f aca="false">M6*Supuestos!$B$20*Supuestos!$E$50</f>
        <v>208000</v>
      </c>
      <c r="N7" s="26" t="n">
        <f aca="false">N6*Supuestos!$B$20*Supuestos!$E$50</f>
        <v>208000</v>
      </c>
      <c r="O7" s="26" t="n">
        <f aca="false">O6*Supuestos!$B$20*Supuestos!$E$50</f>
        <v>208000</v>
      </c>
      <c r="P7" s="26" t="n">
        <f aca="false">P6*Supuestos!$B$20*Supuestos!$E$50</f>
        <v>208000</v>
      </c>
      <c r="Q7" s="26" t="n">
        <f aca="false">Q6*Supuestos!$B$20*Supuestos!$E$50</f>
        <v>208000</v>
      </c>
      <c r="R7" s="26" t="n">
        <f aca="false">R6*Supuestos!$B$20*Supuestos!$E$50</f>
        <v>208000</v>
      </c>
      <c r="S7" s="26" t="n">
        <f aca="false">S6*Supuestos!$B$20*Supuestos!$E$50</f>
        <v>208000</v>
      </c>
      <c r="T7" s="26" t="n">
        <f aca="false">T6*Supuestos!$B$20*Supuestos!$E$50</f>
        <v>208000</v>
      </c>
      <c r="U7" s="26" t="n">
        <f aca="false">U6*Supuestos!$B$20*Supuestos!$E$50</f>
        <v>208000</v>
      </c>
      <c r="V7" s="26" t="n">
        <f aca="false">V6*Supuestos!$B$20*Supuestos!$E$50</f>
        <v>208000</v>
      </c>
      <c r="W7" s="26" t="n">
        <f aca="false">W6*Supuestos!$B$20*Supuestos!$E$50</f>
        <v>208000</v>
      </c>
      <c r="X7" s="26" t="n">
        <f aca="false">X6*Supuestos!$B$20*Supuestos!$E$50</f>
        <v>208000</v>
      </c>
      <c r="Y7" s="26" t="n">
        <f aca="false">Y6*Supuestos!$B$20*Supuestos!$E$50</f>
        <v>208000</v>
      </c>
      <c r="Z7" s="27" t="n">
        <f aca="false">SUM(B7:Y7)</f>
        <v>4992000</v>
      </c>
    </row>
    <row r="8" customFormat="false" ht="15" hidden="false" customHeight="false" outlineLevel="0" collapsed="false">
      <c r="A8" s="9" t="s">
        <v>155</v>
      </c>
    </row>
    <row r="9" customFormat="false" ht="15" hidden="false" customHeight="false" outlineLevel="0" collapsed="false">
      <c r="A9" s="25" t="s">
        <v>156</v>
      </c>
      <c r="B9" s="26" t="n">
        <f aca="false">B7*Supuestos!$E$51</f>
        <v>208000</v>
      </c>
      <c r="C9" s="26" t="n">
        <f aca="false">C7*Supuestos!$E$51+B7*(1-Supuestos!$E$51)</f>
        <v>208000</v>
      </c>
      <c r="D9" s="26" t="n">
        <f aca="false">D7*Supuestos!$E$51+C7*(1-Supuestos!$E$51)</f>
        <v>208000</v>
      </c>
      <c r="E9" s="26" t="n">
        <f aca="false">E7*Supuestos!$E$51+D7*(1-Supuestos!$E$51)</f>
        <v>208000</v>
      </c>
      <c r="F9" s="26" t="n">
        <f aca="false">F7*Supuestos!$E$51+E7*(1-Supuestos!$E$51)</f>
        <v>208000</v>
      </c>
      <c r="G9" s="26" t="n">
        <f aca="false">G7*Supuestos!$E$51+F7*(1-Supuestos!$E$51)</f>
        <v>208000</v>
      </c>
      <c r="H9" s="26" t="n">
        <f aca="false">H7*Supuestos!$E$51+G7*(1-Supuestos!$E$51)</f>
        <v>208000</v>
      </c>
      <c r="I9" s="26" t="n">
        <f aca="false">I7*Supuestos!$E$51+H7*(1-Supuestos!$E$51)</f>
        <v>208000</v>
      </c>
      <c r="J9" s="26" t="n">
        <f aca="false">J7*Supuestos!$E$51+I7*(1-Supuestos!$E$51)</f>
        <v>208000</v>
      </c>
      <c r="K9" s="26" t="n">
        <f aca="false">K7*Supuestos!$E$51+J7*(1-Supuestos!$E$51)</f>
        <v>208000</v>
      </c>
      <c r="L9" s="26" t="n">
        <f aca="false">L7*Supuestos!$E$51+K7*(1-Supuestos!$E$51)</f>
        <v>208000</v>
      </c>
      <c r="M9" s="26" t="n">
        <f aca="false">M7*Supuestos!$E$51+L7*(1-Supuestos!$E$51)</f>
        <v>208000</v>
      </c>
      <c r="N9" s="26" t="n">
        <f aca="false">N7*Supuestos!$E$51+M7*(1-Supuestos!$E$51)</f>
        <v>208000</v>
      </c>
      <c r="O9" s="26" t="n">
        <f aca="false">O7*Supuestos!$E$51+N7*(1-Supuestos!$E$51)</f>
        <v>208000</v>
      </c>
      <c r="P9" s="26" t="n">
        <f aca="false">P7*Supuestos!$E$51+O7*(1-Supuestos!$E$51)</f>
        <v>208000</v>
      </c>
      <c r="Q9" s="26" t="n">
        <f aca="false">Q7*Supuestos!$E$51+P7*(1-Supuestos!$E$51)</f>
        <v>208000</v>
      </c>
      <c r="R9" s="26" t="n">
        <f aca="false">R7*Supuestos!$E$51+Q7*(1-Supuestos!$E$51)</f>
        <v>208000</v>
      </c>
      <c r="S9" s="26" t="n">
        <f aca="false">S7*Supuestos!$E$51+R7*(1-Supuestos!$E$51)</f>
        <v>208000</v>
      </c>
      <c r="T9" s="26" t="n">
        <f aca="false">T7*Supuestos!$E$51+S7*(1-Supuestos!$E$51)</f>
        <v>208000</v>
      </c>
      <c r="U9" s="26" t="n">
        <f aca="false">U7*Supuestos!$E$51+T7*(1-Supuestos!$E$51)</f>
        <v>208000</v>
      </c>
      <c r="V9" s="26" t="n">
        <f aca="false">V7*Supuestos!$E$51+U7*(1-Supuestos!$E$51)</f>
        <v>208000</v>
      </c>
      <c r="W9" s="26" t="n">
        <f aca="false">W7*Supuestos!$E$51+V7*(1-Supuestos!$E$51)</f>
        <v>208000</v>
      </c>
      <c r="X9" s="26" t="n">
        <f aca="false">X7*Supuestos!$E$51+W7*(1-Supuestos!$E$51)</f>
        <v>208000</v>
      </c>
      <c r="Y9" s="26" t="n">
        <f aca="false">Y7*Supuestos!$E$51+X7*(1-Supuestos!$E$51)</f>
        <v>208000</v>
      </c>
      <c r="Z9" s="27" t="n">
        <f aca="false">SUM(B9:Y9)</f>
        <v>4992000</v>
      </c>
    </row>
    <row r="10" customFormat="false" ht="15" hidden="false" customHeight="false" outlineLevel="0" collapsed="false">
      <c r="A10" s="9" t="s">
        <v>157</v>
      </c>
    </row>
    <row r="11" customFormat="false" ht="15" hidden="false" customHeight="false" outlineLevel="0" collapsed="false">
      <c r="A11" s="22" t="s">
        <v>158</v>
      </c>
      <c r="B11" s="28" t="n">
        <f aca="false">B6*Supuestos!$B$40</f>
        <v>36601.3071895425</v>
      </c>
      <c r="C11" s="28" t="n">
        <f aca="false">C6*Supuestos!$B$40</f>
        <v>36601.3071895425</v>
      </c>
      <c r="D11" s="28" t="n">
        <f aca="false">D6*Supuestos!$B$40</f>
        <v>36601.3071895425</v>
      </c>
      <c r="E11" s="28" t="n">
        <f aca="false">E6*Supuestos!$B$40</f>
        <v>36601.3071895425</v>
      </c>
      <c r="F11" s="28" t="n">
        <f aca="false">F6*Supuestos!$B$40</f>
        <v>36601.3071895425</v>
      </c>
      <c r="G11" s="28" t="n">
        <f aca="false">G6*Supuestos!$B$40</f>
        <v>36601.3071895425</v>
      </c>
      <c r="H11" s="28" t="n">
        <f aca="false">H6*Supuestos!$B$40</f>
        <v>36601.3071895425</v>
      </c>
      <c r="I11" s="28" t="n">
        <f aca="false">I6*Supuestos!$B$40</f>
        <v>36601.3071895425</v>
      </c>
      <c r="J11" s="28" t="n">
        <f aca="false">J6*Supuestos!$B$40</f>
        <v>36601.3071895425</v>
      </c>
      <c r="K11" s="28" t="n">
        <f aca="false">K6*Supuestos!$B$40</f>
        <v>36601.3071895425</v>
      </c>
      <c r="L11" s="28" t="n">
        <f aca="false">L6*Supuestos!$B$40</f>
        <v>36601.3071895425</v>
      </c>
      <c r="M11" s="28" t="n">
        <f aca="false">M6*Supuestos!$B$40</f>
        <v>36601.3071895425</v>
      </c>
      <c r="N11" s="28" t="n">
        <f aca="false">N6*Supuestos!$B$40</f>
        <v>36601.3071895425</v>
      </c>
      <c r="O11" s="28" t="n">
        <f aca="false">O6*Supuestos!$B$40</f>
        <v>36601.3071895425</v>
      </c>
      <c r="P11" s="28" t="n">
        <f aca="false">P6*Supuestos!$B$40</f>
        <v>36601.3071895425</v>
      </c>
      <c r="Q11" s="28" t="n">
        <f aca="false">Q6*Supuestos!$B$40</f>
        <v>36601.3071895425</v>
      </c>
      <c r="R11" s="28" t="n">
        <f aca="false">R6*Supuestos!$B$40</f>
        <v>36601.3071895425</v>
      </c>
      <c r="S11" s="28" t="n">
        <f aca="false">S6*Supuestos!$B$40</f>
        <v>36601.3071895425</v>
      </c>
      <c r="T11" s="28" t="n">
        <f aca="false">T6*Supuestos!$B$40</f>
        <v>36601.3071895425</v>
      </c>
      <c r="U11" s="28" t="n">
        <f aca="false">U6*Supuestos!$B$40</f>
        <v>36601.3071895425</v>
      </c>
      <c r="V11" s="28" t="n">
        <f aca="false">V6*Supuestos!$B$40</f>
        <v>36601.3071895425</v>
      </c>
      <c r="W11" s="28" t="n">
        <f aca="false">W6*Supuestos!$B$40</f>
        <v>36601.3071895425</v>
      </c>
      <c r="X11" s="28" t="n">
        <f aca="false">X6*Supuestos!$B$40</f>
        <v>36601.3071895425</v>
      </c>
      <c r="Y11" s="28" t="n">
        <f aca="false">Y6*Supuestos!$B$40</f>
        <v>36601.3071895425</v>
      </c>
      <c r="Z11" s="27" t="n">
        <f aca="false">SUM(B11:Y11)</f>
        <v>878431.37254902</v>
      </c>
    </row>
    <row r="12" customFormat="false" ht="15" hidden="false" customHeight="false" outlineLevel="0" collapsed="false">
      <c r="A12" s="22" t="s">
        <v>159</v>
      </c>
      <c r="B12" s="28" t="n">
        <f aca="false">B6*Supuestos!$B$41</f>
        <v>50400</v>
      </c>
      <c r="C12" s="28" t="n">
        <f aca="false">C6*Supuestos!$B$41</f>
        <v>50400</v>
      </c>
      <c r="D12" s="28" t="n">
        <f aca="false">D6*Supuestos!$B$41</f>
        <v>50400</v>
      </c>
      <c r="E12" s="28" t="n">
        <f aca="false">E6*Supuestos!$B$41</f>
        <v>50400</v>
      </c>
      <c r="F12" s="28" t="n">
        <f aca="false">F6*Supuestos!$B$41</f>
        <v>50400</v>
      </c>
      <c r="G12" s="28" t="n">
        <f aca="false">G6*Supuestos!$B$41</f>
        <v>50400</v>
      </c>
      <c r="H12" s="28" t="n">
        <f aca="false">H6*Supuestos!$B$41</f>
        <v>50400</v>
      </c>
      <c r="I12" s="28" t="n">
        <f aca="false">I6*Supuestos!$B$41</f>
        <v>50400</v>
      </c>
      <c r="J12" s="28" t="n">
        <f aca="false">J6*Supuestos!$B$41</f>
        <v>50400</v>
      </c>
      <c r="K12" s="28" t="n">
        <f aca="false">K6*Supuestos!$B$41</f>
        <v>50400</v>
      </c>
      <c r="L12" s="28" t="n">
        <f aca="false">L6*Supuestos!$B$41</f>
        <v>50400</v>
      </c>
      <c r="M12" s="28" t="n">
        <f aca="false">M6*Supuestos!$B$41</f>
        <v>50400</v>
      </c>
      <c r="N12" s="28" t="n">
        <f aca="false">N6*Supuestos!$B$41</f>
        <v>50400</v>
      </c>
      <c r="O12" s="28" t="n">
        <f aca="false">O6*Supuestos!$B$41</f>
        <v>50400</v>
      </c>
      <c r="P12" s="28" t="n">
        <f aca="false">P6*Supuestos!$B$41</f>
        <v>50400</v>
      </c>
      <c r="Q12" s="28" t="n">
        <f aca="false">Q6*Supuestos!$B$41</f>
        <v>50400</v>
      </c>
      <c r="R12" s="28" t="n">
        <f aca="false">R6*Supuestos!$B$41</f>
        <v>50400</v>
      </c>
      <c r="S12" s="28" t="n">
        <f aca="false">S6*Supuestos!$B$41</f>
        <v>50400</v>
      </c>
      <c r="T12" s="28" t="n">
        <f aca="false">T6*Supuestos!$B$41</f>
        <v>50400</v>
      </c>
      <c r="U12" s="28" t="n">
        <f aca="false">U6*Supuestos!$B$41</f>
        <v>50400</v>
      </c>
      <c r="V12" s="28" t="n">
        <f aca="false">V6*Supuestos!$B$41</f>
        <v>50400</v>
      </c>
      <c r="W12" s="28" t="n">
        <f aca="false">W6*Supuestos!$B$41</f>
        <v>50400</v>
      </c>
      <c r="X12" s="28" t="n">
        <f aca="false">X6*Supuestos!$B$41</f>
        <v>50400</v>
      </c>
      <c r="Y12" s="28" t="n">
        <f aca="false">Y6*Supuestos!$B$41</f>
        <v>50400</v>
      </c>
      <c r="Z12" s="27" t="n">
        <f aca="false">SUM(B12:Y12)</f>
        <v>1209600</v>
      </c>
    </row>
    <row r="13" customFormat="false" ht="15" hidden="false" customHeight="false" outlineLevel="0" collapsed="false">
      <c r="A13" s="22" t="s">
        <v>60</v>
      </c>
      <c r="B13" s="28" t="n">
        <f aca="false">B6*Supuestos!$B$13</f>
        <v>7200</v>
      </c>
      <c r="C13" s="28" t="n">
        <f aca="false">C6*Supuestos!$B$13</f>
        <v>7200</v>
      </c>
      <c r="D13" s="28" t="n">
        <f aca="false">D6*Supuestos!$B$13</f>
        <v>7200</v>
      </c>
      <c r="E13" s="28" t="n">
        <f aca="false">E6*Supuestos!$B$13</f>
        <v>7200</v>
      </c>
      <c r="F13" s="28" t="n">
        <f aca="false">F6*Supuestos!$B$13</f>
        <v>7200</v>
      </c>
      <c r="G13" s="28" t="n">
        <f aca="false">G6*Supuestos!$B$13</f>
        <v>7200</v>
      </c>
      <c r="H13" s="28" t="n">
        <f aca="false">H6*Supuestos!$B$13</f>
        <v>7200</v>
      </c>
      <c r="I13" s="28" t="n">
        <f aca="false">I6*Supuestos!$B$13</f>
        <v>7200</v>
      </c>
      <c r="J13" s="28" t="n">
        <f aca="false">J6*Supuestos!$B$13</f>
        <v>7200</v>
      </c>
      <c r="K13" s="28" t="n">
        <f aca="false">K6*Supuestos!$B$13</f>
        <v>7200</v>
      </c>
      <c r="L13" s="28" t="n">
        <f aca="false">L6*Supuestos!$B$13</f>
        <v>7200</v>
      </c>
      <c r="M13" s="28" t="n">
        <f aca="false">M6*Supuestos!$B$13</f>
        <v>7200</v>
      </c>
      <c r="N13" s="28" t="n">
        <f aca="false">N6*Supuestos!$B$13</f>
        <v>7200</v>
      </c>
      <c r="O13" s="28" t="n">
        <f aca="false">O6*Supuestos!$B$13</f>
        <v>7200</v>
      </c>
      <c r="P13" s="28" t="n">
        <f aca="false">P6*Supuestos!$B$13</f>
        <v>7200</v>
      </c>
      <c r="Q13" s="28" t="n">
        <f aca="false">Q6*Supuestos!$B$13</f>
        <v>7200</v>
      </c>
      <c r="R13" s="28" t="n">
        <f aca="false">R6*Supuestos!$B$13</f>
        <v>7200</v>
      </c>
      <c r="S13" s="28" t="n">
        <f aca="false">S6*Supuestos!$B$13</f>
        <v>7200</v>
      </c>
      <c r="T13" s="28" t="n">
        <f aca="false">T6*Supuestos!$B$13</f>
        <v>7200</v>
      </c>
      <c r="U13" s="28" t="n">
        <f aca="false">U6*Supuestos!$B$13</f>
        <v>7200</v>
      </c>
      <c r="V13" s="28" t="n">
        <f aca="false">V6*Supuestos!$B$13</f>
        <v>7200</v>
      </c>
      <c r="W13" s="28" t="n">
        <f aca="false">W6*Supuestos!$B$13</f>
        <v>7200</v>
      </c>
      <c r="X13" s="28" t="n">
        <f aca="false">X6*Supuestos!$B$13</f>
        <v>7200</v>
      </c>
      <c r="Y13" s="28" t="n">
        <f aca="false">Y6*Supuestos!$B$13</f>
        <v>7200</v>
      </c>
      <c r="Z13" s="27" t="n">
        <f aca="false">SUM(B13:Y13)</f>
        <v>172800</v>
      </c>
    </row>
    <row r="14" customFormat="false" ht="15" hidden="false" customHeight="false" outlineLevel="0" collapsed="false">
      <c r="A14" s="22" t="s">
        <v>63</v>
      </c>
      <c r="B14" s="28" t="n">
        <f aca="false">B6*Supuestos!$B$14</f>
        <v>20000</v>
      </c>
      <c r="C14" s="28" t="n">
        <f aca="false">C6*Supuestos!$B$14</f>
        <v>20000</v>
      </c>
      <c r="D14" s="28" t="n">
        <f aca="false">D6*Supuestos!$B$14</f>
        <v>20000</v>
      </c>
      <c r="E14" s="28" t="n">
        <f aca="false">E6*Supuestos!$B$14</f>
        <v>20000</v>
      </c>
      <c r="F14" s="28" t="n">
        <f aca="false">F6*Supuestos!$B$14</f>
        <v>20000</v>
      </c>
      <c r="G14" s="28" t="n">
        <f aca="false">G6*Supuestos!$B$14</f>
        <v>20000</v>
      </c>
      <c r="H14" s="28" t="n">
        <f aca="false">H6*Supuestos!$B$14</f>
        <v>20000</v>
      </c>
      <c r="I14" s="28" t="n">
        <f aca="false">I6*Supuestos!$B$14</f>
        <v>20000</v>
      </c>
      <c r="J14" s="28" t="n">
        <f aca="false">J6*Supuestos!$B$14</f>
        <v>20000</v>
      </c>
      <c r="K14" s="28" t="n">
        <f aca="false">K6*Supuestos!$B$14</f>
        <v>20000</v>
      </c>
      <c r="L14" s="28" t="n">
        <f aca="false">L6*Supuestos!$B$14</f>
        <v>20000</v>
      </c>
      <c r="M14" s="28" t="n">
        <f aca="false">M6*Supuestos!$B$14</f>
        <v>20000</v>
      </c>
      <c r="N14" s="28" t="n">
        <f aca="false">N6*Supuestos!$B$14</f>
        <v>20000</v>
      </c>
      <c r="O14" s="28" t="n">
        <f aca="false">O6*Supuestos!$B$14</f>
        <v>20000</v>
      </c>
      <c r="P14" s="28" t="n">
        <f aca="false">P6*Supuestos!$B$14</f>
        <v>20000</v>
      </c>
      <c r="Q14" s="28" t="n">
        <f aca="false">Q6*Supuestos!$B$14</f>
        <v>20000</v>
      </c>
      <c r="R14" s="28" t="n">
        <f aca="false">R6*Supuestos!$B$14</f>
        <v>20000</v>
      </c>
      <c r="S14" s="28" t="n">
        <f aca="false">S6*Supuestos!$B$14</f>
        <v>20000</v>
      </c>
      <c r="T14" s="28" t="n">
        <f aca="false">T6*Supuestos!$B$14</f>
        <v>20000</v>
      </c>
      <c r="U14" s="28" t="n">
        <f aca="false">U6*Supuestos!$B$14</f>
        <v>20000</v>
      </c>
      <c r="V14" s="28" t="n">
        <f aca="false">V6*Supuestos!$B$14</f>
        <v>20000</v>
      </c>
      <c r="W14" s="28" t="n">
        <f aca="false">W6*Supuestos!$B$14</f>
        <v>20000</v>
      </c>
      <c r="X14" s="28" t="n">
        <f aca="false">X6*Supuestos!$B$14</f>
        <v>20000</v>
      </c>
      <c r="Y14" s="28" t="n">
        <f aca="false">Y6*Supuestos!$B$14</f>
        <v>20000</v>
      </c>
      <c r="Z14" s="27" t="n">
        <f aca="false">SUM(B14:Y14)</f>
        <v>480000</v>
      </c>
    </row>
    <row r="15" customFormat="false" ht="15" hidden="false" customHeight="false" outlineLevel="0" collapsed="false">
      <c r="A15" s="22" t="s">
        <v>160</v>
      </c>
      <c r="B15" s="28" t="n">
        <f aca="false">B6*Supuestos!$B$15</f>
        <v>2000</v>
      </c>
      <c r="C15" s="28" t="n">
        <f aca="false">C6*Supuestos!$B$15</f>
        <v>2000</v>
      </c>
      <c r="D15" s="28" t="n">
        <f aca="false">D6*Supuestos!$B$15</f>
        <v>2000</v>
      </c>
      <c r="E15" s="28" t="n">
        <f aca="false">E6*Supuestos!$B$15</f>
        <v>2000</v>
      </c>
      <c r="F15" s="28" t="n">
        <f aca="false">F6*Supuestos!$B$15</f>
        <v>2000</v>
      </c>
      <c r="G15" s="28" t="n">
        <f aca="false">G6*Supuestos!$B$15</f>
        <v>2000</v>
      </c>
      <c r="H15" s="28" t="n">
        <f aca="false">H6*Supuestos!$B$15</f>
        <v>2000</v>
      </c>
      <c r="I15" s="28" t="n">
        <f aca="false">I6*Supuestos!$B$15</f>
        <v>2000</v>
      </c>
      <c r="J15" s="28" t="n">
        <f aca="false">J6*Supuestos!$B$15</f>
        <v>2000</v>
      </c>
      <c r="K15" s="28" t="n">
        <f aca="false">K6*Supuestos!$B$15</f>
        <v>2000</v>
      </c>
      <c r="L15" s="28" t="n">
        <f aca="false">L6*Supuestos!$B$15</f>
        <v>2000</v>
      </c>
      <c r="M15" s="28" t="n">
        <f aca="false">M6*Supuestos!$B$15</f>
        <v>2000</v>
      </c>
      <c r="N15" s="28" t="n">
        <f aca="false">N6*Supuestos!$B$15</f>
        <v>2000</v>
      </c>
      <c r="O15" s="28" t="n">
        <f aca="false">O6*Supuestos!$B$15</f>
        <v>2000</v>
      </c>
      <c r="P15" s="28" t="n">
        <f aca="false">P6*Supuestos!$B$15</f>
        <v>2000</v>
      </c>
      <c r="Q15" s="28" t="n">
        <f aca="false">Q6*Supuestos!$B$15</f>
        <v>2000</v>
      </c>
      <c r="R15" s="28" t="n">
        <f aca="false">R6*Supuestos!$B$15</f>
        <v>2000</v>
      </c>
      <c r="S15" s="28" t="n">
        <f aca="false">S6*Supuestos!$B$15</f>
        <v>2000</v>
      </c>
      <c r="T15" s="28" t="n">
        <f aca="false">T6*Supuestos!$B$15</f>
        <v>2000</v>
      </c>
      <c r="U15" s="28" t="n">
        <f aca="false">U6*Supuestos!$B$15</f>
        <v>2000</v>
      </c>
      <c r="V15" s="28" t="n">
        <f aca="false">V6*Supuestos!$B$15</f>
        <v>2000</v>
      </c>
      <c r="W15" s="28" t="n">
        <f aca="false">W6*Supuestos!$B$15</f>
        <v>2000</v>
      </c>
      <c r="X15" s="28" t="n">
        <f aca="false">X6*Supuestos!$B$15</f>
        <v>2000</v>
      </c>
      <c r="Y15" s="28" t="n">
        <f aca="false">Y6*Supuestos!$B$15</f>
        <v>2000</v>
      </c>
      <c r="Z15" s="27" t="n">
        <f aca="false">SUM(B15:Y15)</f>
        <v>48000</v>
      </c>
    </row>
    <row r="16" customFormat="false" ht="15" hidden="false" customHeight="false" outlineLevel="0" collapsed="false">
      <c r="A16" s="22" t="s">
        <v>161</v>
      </c>
      <c r="B16" s="28" t="n">
        <f aca="false">Supuestos!$B$16</f>
        <v>8000</v>
      </c>
      <c r="C16" s="28" t="n">
        <f aca="false">Supuestos!$B$16</f>
        <v>8000</v>
      </c>
      <c r="D16" s="28" t="n">
        <f aca="false">Supuestos!$B$16</f>
        <v>8000</v>
      </c>
      <c r="E16" s="28" t="n">
        <f aca="false">Supuestos!$B$16</f>
        <v>8000</v>
      </c>
      <c r="F16" s="28" t="n">
        <f aca="false">Supuestos!$B$16</f>
        <v>8000</v>
      </c>
      <c r="G16" s="28" t="n">
        <f aca="false">Supuestos!$B$16</f>
        <v>8000</v>
      </c>
      <c r="H16" s="28" t="n">
        <f aca="false">Supuestos!$B$16</f>
        <v>8000</v>
      </c>
      <c r="I16" s="28" t="n">
        <f aca="false">Supuestos!$B$16</f>
        <v>8000</v>
      </c>
      <c r="J16" s="28" t="n">
        <f aca="false">Supuestos!$B$16</f>
        <v>8000</v>
      </c>
      <c r="K16" s="28" t="n">
        <f aca="false">Supuestos!$B$16</f>
        <v>8000</v>
      </c>
      <c r="L16" s="28" t="n">
        <f aca="false">Supuestos!$B$16</f>
        <v>8000</v>
      </c>
      <c r="M16" s="28" t="n">
        <f aca="false">Supuestos!$B$16</f>
        <v>8000</v>
      </c>
      <c r="N16" s="28" t="n">
        <f aca="false">Supuestos!$B$16</f>
        <v>8000</v>
      </c>
      <c r="O16" s="28" t="n">
        <f aca="false">Supuestos!$B$16</f>
        <v>8000</v>
      </c>
      <c r="P16" s="28" t="n">
        <f aca="false">Supuestos!$B$16</f>
        <v>8000</v>
      </c>
      <c r="Q16" s="28" t="n">
        <f aca="false">Supuestos!$B$16</f>
        <v>8000</v>
      </c>
      <c r="R16" s="28" t="n">
        <f aca="false">Supuestos!$B$16</f>
        <v>8000</v>
      </c>
      <c r="S16" s="28" t="n">
        <f aca="false">Supuestos!$B$16</f>
        <v>8000</v>
      </c>
      <c r="T16" s="28" t="n">
        <f aca="false">Supuestos!$B$16</f>
        <v>8000</v>
      </c>
      <c r="U16" s="28" t="n">
        <f aca="false">Supuestos!$B$16</f>
        <v>8000</v>
      </c>
      <c r="V16" s="28" t="n">
        <f aca="false">Supuestos!$B$16</f>
        <v>8000</v>
      </c>
      <c r="W16" s="28" t="n">
        <f aca="false">Supuestos!$B$16</f>
        <v>8000</v>
      </c>
      <c r="X16" s="28" t="n">
        <f aca="false">Supuestos!$B$16</f>
        <v>8000</v>
      </c>
      <c r="Y16" s="28" t="n">
        <f aca="false">Supuestos!$B$16</f>
        <v>8000</v>
      </c>
      <c r="Z16" s="27" t="n">
        <f aca="false">SUM(B16:Y16)</f>
        <v>192000</v>
      </c>
    </row>
    <row r="17" customFormat="false" ht="15" hidden="false" customHeight="false" outlineLevel="0" collapsed="false">
      <c r="A17" s="22" t="s">
        <v>162</v>
      </c>
      <c r="B17" s="28" t="n">
        <f aca="false">Supuestos!$B$17+Supuestos!$B$18</f>
        <v>17000</v>
      </c>
      <c r="C17" s="28" t="n">
        <f aca="false">0</f>
        <v>0</v>
      </c>
      <c r="D17" s="28" t="n">
        <f aca="false">0</f>
        <v>0</v>
      </c>
      <c r="E17" s="28" t="n">
        <f aca="false">0</f>
        <v>0</v>
      </c>
      <c r="F17" s="28" t="n">
        <f aca="false">0</f>
        <v>0</v>
      </c>
      <c r="G17" s="28" t="n">
        <f aca="false">0</f>
        <v>0</v>
      </c>
      <c r="H17" s="28" t="n">
        <f aca="false">0</f>
        <v>0</v>
      </c>
      <c r="I17" s="28" t="n">
        <f aca="false">0</f>
        <v>0</v>
      </c>
      <c r="J17" s="28" t="n">
        <f aca="false">0</f>
        <v>0</v>
      </c>
      <c r="K17" s="28" t="n">
        <f aca="false">0</f>
        <v>0</v>
      </c>
      <c r="L17" s="28" t="n">
        <f aca="false">0</f>
        <v>0</v>
      </c>
      <c r="M17" s="28" t="n">
        <f aca="false">0</f>
        <v>0</v>
      </c>
      <c r="N17" s="28" t="n">
        <f aca="false">0</f>
        <v>0</v>
      </c>
      <c r="O17" s="28" t="n">
        <f aca="false">0</f>
        <v>0</v>
      </c>
      <c r="P17" s="28" t="n">
        <f aca="false">0</f>
        <v>0</v>
      </c>
      <c r="Q17" s="28" t="n">
        <f aca="false">0</f>
        <v>0</v>
      </c>
      <c r="R17" s="28" t="n">
        <f aca="false">0</f>
        <v>0</v>
      </c>
      <c r="S17" s="28" t="n">
        <f aca="false">0</f>
        <v>0</v>
      </c>
      <c r="T17" s="28" t="n">
        <f aca="false">0</f>
        <v>0</v>
      </c>
      <c r="U17" s="28" t="n">
        <f aca="false">0</f>
        <v>0</v>
      </c>
      <c r="V17" s="28" t="n">
        <f aca="false">0</f>
        <v>0</v>
      </c>
      <c r="W17" s="28" t="n">
        <f aca="false">0</f>
        <v>0</v>
      </c>
      <c r="X17" s="28" t="n">
        <f aca="false">0</f>
        <v>0</v>
      </c>
      <c r="Y17" s="28" t="n">
        <f aca="false">0</f>
        <v>0</v>
      </c>
      <c r="Z17" s="27" t="n">
        <f aca="false">SUM(B17:Y17)</f>
        <v>17000</v>
      </c>
    </row>
    <row r="18" customFormat="false" ht="15" hidden="false" customHeight="false" outlineLevel="0" collapsed="false">
      <c r="A18" s="25" t="s">
        <v>163</v>
      </c>
      <c r="B18" s="26" t="n">
        <f aca="false">SUM(B11:B17)</f>
        <v>141201.307189542</v>
      </c>
      <c r="C18" s="26" t="n">
        <f aca="false">SUM(C11:C17)</f>
        <v>124201.307189542</v>
      </c>
      <c r="D18" s="26" t="n">
        <f aca="false">SUM(D11:D17)</f>
        <v>124201.307189542</v>
      </c>
      <c r="E18" s="26" t="n">
        <f aca="false">SUM(E11:E17)</f>
        <v>124201.307189542</v>
      </c>
      <c r="F18" s="26" t="n">
        <f aca="false">SUM(F11:F17)</f>
        <v>124201.307189542</v>
      </c>
      <c r="G18" s="26" t="n">
        <f aca="false">SUM(G11:G17)</f>
        <v>124201.307189542</v>
      </c>
      <c r="H18" s="26" t="n">
        <f aca="false">SUM(H11:H17)</f>
        <v>124201.307189542</v>
      </c>
      <c r="I18" s="26" t="n">
        <f aca="false">SUM(I11:I17)</f>
        <v>124201.307189542</v>
      </c>
      <c r="J18" s="26" t="n">
        <f aca="false">SUM(J11:J17)</f>
        <v>124201.307189542</v>
      </c>
      <c r="K18" s="26" t="n">
        <f aca="false">SUM(K11:K17)</f>
        <v>124201.307189542</v>
      </c>
      <c r="L18" s="26" t="n">
        <f aca="false">SUM(L11:L17)</f>
        <v>124201.307189542</v>
      </c>
      <c r="M18" s="26" t="n">
        <f aca="false">SUM(M11:M17)</f>
        <v>124201.307189542</v>
      </c>
      <c r="N18" s="26" t="n">
        <f aca="false">SUM(N11:N17)</f>
        <v>124201.307189542</v>
      </c>
      <c r="O18" s="26" t="n">
        <f aca="false">SUM(O11:O17)</f>
        <v>124201.307189542</v>
      </c>
      <c r="P18" s="26" t="n">
        <f aca="false">SUM(P11:P17)</f>
        <v>124201.307189542</v>
      </c>
      <c r="Q18" s="26" t="n">
        <f aca="false">SUM(Q11:Q17)</f>
        <v>124201.307189542</v>
      </c>
      <c r="R18" s="26" t="n">
        <f aca="false">SUM(R11:R17)</f>
        <v>124201.307189542</v>
      </c>
      <c r="S18" s="26" t="n">
        <f aca="false">SUM(S11:S17)</f>
        <v>124201.307189542</v>
      </c>
      <c r="T18" s="26" t="n">
        <f aca="false">SUM(T11:T17)</f>
        <v>124201.307189542</v>
      </c>
      <c r="U18" s="26" t="n">
        <f aca="false">SUM(U11:U17)</f>
        <v>124201.307189542</v>
      </c>
      <c r="V18" s="26" t="n">
        <f aca="false">SUM(V11:V17)</f>
        <v>124201.307189542</v>
      </c>
      <c r="W18" s="26" t="n">
        <f aca="false">SUM(W11:W17)</f>
        <v>124201.307189542</v>
      </c>
      <c r="X18" s="26" t="n">
        <f aca="false">SUM(X11:X17)</f>
        <v>124201.307189542</v>
      </c>
      <c r="Y18" s="26" t="n">
        <f aca="false">SUM(Y11:Y17)</f>
        <v>124201.307189542</v>
      </c>
      <c r="Z18" s="27" t="n">
        <f aca="false">SUM(B18:Y18)</f>
        <v>2997831.37254902</v>
      </c>
    </row>
    <row r="19" customFormat="false" ht="15" hidden="false" customHeight="false" outlineLevel="0" collapsed="false">
      <c r="A19" s="9" t="s">
        <v>164</v>
      </c>
    </row>
    <row r="20" customFormat="false" ht="15" hidden="false" customHeight="false" outlineLevel="0" collapsed="false">
      <c r="A20" s="25" t="s">
        <v>165</v>
      </c>
      <c r="B20" s="26" t="n">
        <f aca="false">B9-B18</f>
        <v>66798.6928104575</v>
      </c>
      <c r="C20" s="26" t="n">
        <f aca="false">C9-C18</f>
        <v>83798.6928104575</v>
      </c>
      <c r="D20" s="26" t="n">
        <f aca="false">D9-D18</f>
        <v>83798.6928104575</v>
      </c>
      <c r="E20" s="26" t="n">
        <f aca="false">E9-E18</f>
        <v>83798.6928104575</v>
      </c>
      <c r="F20" s="26" t="n">
        <f aca="false">F9-F18</f>
        <v>83798.6928104575</v>
      </c>
      <c r="G20" s="26" t="n">
        <f aca="false">G9-G18</f>
        <v>83798.6928104575</v>
      </c>
      <c r="H20" s="26" t="n">
        <f aca="false">H9-H18</f>
        <v>83798.6928104575</v>
      </c>
      <c r="I20" s="26" t="n">
        <f aca="false">I9-I18</f>
        <v>83798.6928104575</v>
      </c>
      <c r="J20" s="26" t="n">
        <f aca="false">J9-J18</f>
        <v>83798.6928104575</v>
      </c>
      <c r="K20" s="26" t="n">
        <f aca="false">K9-K18</f>
        <v>83798.6928104575</v>
      </c>
      <c r="L20" s="26" t="n">
        <f aca="false">L9-L18</f>
        <v>83798.6928104575</v>
      </c>
      <c r="M20" s="26" t="n">
        <f aca="false">M9-M18</f>
        <v>83798.6928104575</v>
      </c>
      <c r="N20" s="26" t="n">
        <f aca="false">N9-N18</f>
        <v>83798.6928104575</v>
      </c>
      <c r="O20" s="26" t="n">
        <f aca="false">O9-O18</f>
        <v>83798.6928104575</v>
      </c>
      <c r="P20" s="26" t="n">
        <f aca="false">P9-P18</f>
        <v>83798.6928104575</v>
      </c>
      <c r="Q20" s="26" t="n">
        <f aca="false">Q9-Q18</f>
        <v>83798.6928104575</v>
      </c>
      <c r="R20" s="26" t="n">
        <f aca="false">R9-R18</f>
        <v>83798.6928104575</v>
      </c>
      <c r="S20" s="26" t="n">
        <f aca="false">S9-S18</f>
        <v>83798.6928104575</v>
      </c>
      <c r="T20" s="26" t="n">
        <f aca="false">T9-T18</f>
        <v>83798.6928104575</v>
      </c>
      <c r="U20" s="26" t="n">
        <f aca="false">U9-U18</f>
        <v>83798.6928104575</v>
      </c>
      <c r="V20" s="26" t="n">
        <f aca="false">V9-V18</f>
        <v>83798.6928104575</v>
      </c>
      <c r="W20" s="26" t="n">
        <f aca="false">W9-W18</f>
        <v>83798.6928104575</v>
      </c>
      <c r="X20" s="26" t="n">
        <f aca="false">X9-X18</f>
        <v>83798.6928104575</v>
      </c>
      <c r="Y20" s="26" t="n">
        <f aca="false">Y9-Y18</f>
        <v>83798.6928104575</v>
      </c>
      <c r="Z20" s="27" t="n">
        <f aca="false">SUM(B20:Y20)</f>
        <v>1994168.62745098</v>
      </c>
    </row>
    <row r="21" customFormat="false" ht="15" hidden="false" customHeight="false" outlineLevel="0" collapsed="false">
      <c r="A21" s="22" t="s">
        <v>166</v>
      </c>
      <c r="B21" s="28" t="n">
        <f aca="false">SUM($B$20:B$20)</f>
        <v>66798.6928104575</v>
      </c>
      <c r="C21" s="28" t="n">
        <f aca="false">SUM($B$20:C$20)</f>
        <v>150597.385620915</v>
      </c>
      <c r="D21" s="28" t="n">
        <f aca="false">SUM($B$20:D$20)</f>
        <v>234396.078431373</v>
      </c>
      <c r="E21" s="28" t="n">
        <f aca="false">SUM($B$20:E$20)</f>
        <v>318194.77124183</v>
      </c>
      <c r="F21" s="28" t="n">
        <f aca="false">SUM($B$20:F$20)</f>
        <v>401993.464052288</v>
      </c>
      <c r="G21" s="28" t="n">
        <f aca="false">SUM($B$20:G$20)</f>
        <v>485792.156862745</v>
      </c>
      <c r="H21" s="28" t="n">
        <f aca="false">SUM($B$20:H$20)</f>
        <v>569590.849673203</v>
      </c>
      <c r="I21" s="28" t="n">
        <f aca="false">SUM($B$20:I$20)</f>
        <v>653389.54248366</v>
      </c>
      <c r="J21" s="28" t="n">
        <f aca="false">SUM($B$20:J$20)</f>
        <v>737188.235294118</v>
      </c>
      <c r="K21" s="28" t="n">
        <f aca="false">SUM($B$20:K$20)</f>
        <v>820986.928104575</v>
      </c>
      <c r="L21" s="28" t="n">
        <f aca="false">SUM($B$20:L$20)</f>
        <v>904785.620915033</v>
      </c>
      <c r="M21" s="28" t="n">
        <f aca="false">SUM($B$20:M$20)</f>
        <v>988584.31372549</v>
      </c>
      <c r="N21" s="28" t="n">
        <f aca="false">SUM($B$20:N$20)</f>
        <v>1072383.00653595</v>
      </c>
      <c r="O21" s="28" t="n">
        <f aca="false">SUM($B$20:O$20)</f>
        <v>1156181.69934641</v>
      </c>
      <c r="P21" s="28" t="n">
        <f aca="false">SUM($B$20:P$20)</f>
        <v>1239980.39215686</v>
      </c>
      <c r="Q21" s="28" t="n">
        <f aca="false">SUM($B$20:Q$20)</f>
        <v>1323779.08496732</v>
      </c>
      <c r="R21" s="28" t="n">
        <f aca="false">SUM($B$20:R$20)</f>
        <v>1407577.77777778</v>
      </c>
      <c r="S21" s="28" t="n">
        <f aca="false">SUM($B$20:S$20)</f>
        <v>1491376.47058824</v>
      </c>
      <c r="T21" s="28" t="n">
        <f aca="false">SUM($B$20:T$20)</f>
        <v>1575175.16339869</v>
      </c>
      <c r="U21" s="28" t="n">
        <f aca="false">SUM($B$20:U$20)</f>
        <v>1658973.85620915</v>
      </c>
      <c r="V21" s="28" t="n">
        <f aca="false">SUM($B$20:V$20)</f>
        <v>1742772.54901961</v>
      </c>
      <c r="W21" s="28" t="n">
        <f aca="false">SUM($B$20:W$20)</f>
        <v>1826571.24183007</v>
      </c>
      <c r="X21" s="28" t="n">
        <f aca="false">SUM($B$20:X$20)</f>
        <v>1910369.93464052</v>
      </c>
      <c r="Y21" s="28" t="n">
        <f aca="false">SUM($B$20:Y$20)</f>
        <v>1994168.62745098</v>
      </c>
    </row>
    <row r="22" customFormat="false" ht="15" hidden="false" customHeight="false" outlineLevel="0" collapsed="false">
      <c r="A22" s="25" t="s">
        <v>167</v>
      </c>
      <c r="B22" s="26" t="n">
        <f aca="false">B7-B11-B12-B13-B14-B15-B16-Supuestos!$B$17</f>
        <v>75798.6928104575</v>
      </c>
      <c r="C22" s="26" t="n">
        <f aca="false">C7-C11-C12-C13-C14-C15-C16</f>
        <v>83798.6928104575</v>
      </c>
      <c r="D22" s="26" t="n">
        <f aca="false">D7-D11-D12-D13-D14-D15-D16</f>
        <v>83798.6928104575</v>
      </c>
      <c r="E22" s="26" t="n">
        <f aca="false">E7-E11-E12-E13-E14-E15-E16</f>
        <v>83798.6928104575</v>
      </c>
      <c r="F22" s="26" t="n">
        <f aca="false">F7-F11-F12-F13-F14-F15-F16</f>
        <v>83798.6928104575</v>
      </c>
      <c r="G22" s="26" t="n">
        <f aca="false">G7-G11-G12-G13-G14-G15-G16</f>
        <v>83798.6928104575</v>
      </c>
      <c r="H22" s="26" t="n">
        <f aca="false">H7-H11-H12-H13-H14-H15-H16</f>
        <v>83798.6928104575</v>
      </c>
      <c r="I22" s="26" t="n">
        <f aca="false">I7-I11-I12-I13-I14-I15-I16</f>
        <v>83798.6928104575</v>
      </c>
      <c r="J22" s="26" t="n">
        <f aca="false">J7-J11-J12-J13-J14-J15-J16</f>
        <v>83798.6928104575</v>
      </c>
      <c r="K22" s="26" t="n">
        <f aca="false">K7-K11-K12-K13-K14-K15-K16</f>
        <v>83798.6928104575</v>
      </c>
      <c r="L22" s="26" t="n">
        <f aca="false">L7-L11-L12-L13-L14-L15-L16</f>
        <v>83798.6928104575</v>
      </c>
      <c r="M22" s="26" t="n">
        <f aca="false">M7-M11-M12-M13-M14-M15-M16</f>
        <v>83798.6928104575</v>
      </c>
      <c r="N22" s="26" t="n">
        <f aca="false">N7-N11-N12-N13-N14-N15-N16</f>
        <v>83798.6928104575</v>
      </c>
      <c r="O22" s="26" t="n">
        <f aca="false">O7-O11-O12-O13-O14-O15-O16</f>
        <v>83798.6928104575</v>
      </c>
      <c r="P22" s="26" t="n">
        <f aca="false">P7-P11-P12-P13-P14-P15-P16</f>
        <v>83798.6928104575</v>
      </c>
      <c r="Q22" s="26" t="n">
        <f aca="false">Q7-Q11-Q12-Q13-Q14-Q15-Q16</f>
        <v>83798.6928104575</v>
      </c>
      <c r="R22" s="26" t="n">
        <f aca="false">R7-R11-R12-R13-R14-R15-R16</f>
        <v>83798.6928104575</v>
      </c>
      <c r="S22" s="26" t="n">
        <f aca="false">S7-S11-S12-S13-S14-S15-S16</f>
        <v>83798.6928104575</v>
      </c>
      <c r="T22" s="26" t="n">
        <f aca="false">T7-T11-T12-T13-T14-T15-T16</f>
        <v>83798.6928104575</v>
      </c>
      <c r="U22" s="26" t="n">
        <f aca="false">U7-U11-U12-U13-U14-U15-U16</f>
        <v>83798.6928104575</v>
      </c>
      <c r="V22" s="26" t="n">
        <f aca="false">V7-V11-V12-V13-V14-V15-V16</f>
        <v>83798.6928104575</v>
      </c>
      <c r="W22" s="26" t="n">
        <f aca="false">W7-W11-W12-W13-W14-W15-W16</f>
        <v>83798.6928104575</v>
      </c>
      <c r="X22" s="26" t="n">
        <f aca="false">X7-X11-X12-X13-X14-X15-X16</f>
        <v>83798.6928104575</v>
      </c>
      <c r="Y22" s="26" t="n">
        <f aca="false">Y7-Y11-Y12-Y13-Y14-Y15-Y16</f>
        <v>83798.6928104575</v>
      </c>
      <c r="Z22" s="27" t="n">
        <f aca="false">SUM(B22:Y22)</f>
        <v>2003168.62745098</v>
      </c>
    </row>
    <row r="23" customFormat="false" ht="15" hidden="false" customHeight="false" outlineLevel="0" collapsed="false">
      <c r="A23" s="9" t="s">
        <v>168</v>
      </c>
    </row>
    <row r="24" customFormat="false" ht="15" hidden="false" customHeight="false" outlineLevel="0" collapsed="false">
      <c r="A24" s="25" t="s">
        <v>169</v>
      </c>
      <c r="B24" s="26" t="n">
        <f aca="false">Supuestos!$B$23</f>
        <v>1000000</v>
      </c>
      <c r="C24" s="26" t="n">
        <f aca="false">0</f>
        <v>0</v>
      </c>
      <c r="D24" s="26" t="n">
        <f aca="false">0</f>
        <v>0</v>
      </c>
      <c r="E24" s="26" t="n">
        <f aca="false">0</f>
        <v>0</v>
      </c>
      <c r="F24" s="26" t="n">
        <f aca="false">0</f>
        <v>0</v>
      </c>
      <c r="G24" s="26" t="n">
        <f aca="false">0</f>
        <v>0</v>
      </c>
      <c r="H24" s="26" t="n">
        <f aca="false">0</f>
        <v>0</v>
      </c>
      <c r="I24" s="26" t="n">
        <f aca="false">0</f>
        <v>0</v>
      </c>
      <c r="J24" s="26" t="n">
        <f aca="false">0</f>
        <v>0</v>
      </c>
      <c r="K24" s="26" t="n">
        <f aca="false">0</f>
        <v>0</v>
      </c>
      <c r="L24" s="26" t="n">
        <f aca="false">0</f>
        <v>0</v>
      </c>
      <c r="M24" s="26" t="n">
        <f aca="false">0</f>
        <v>0</v>
      </c>
      <c r="N24" s="26" t="n">
        <f aca="false">0</f>
        <v>0</v>
      </c>
      <c r="O24" s="26" t="n">
        <f aca="false">0</f>
        <v>0</v>
      </c>
      <c r="P24" s="26" t="n">
        <f aca="false">0</f>
        <v>0</v>
      </c>
      <c r="Q24" s="26" t="n">
        <f aca="false">0</f>
        <v>0</v>
      </c>
      <c r="R24" s="26" t="n">
        <f aca="false">0</f>
        <v>0</v>
      </c>
      <c r="S24" s="26" t="n">
        <f aca="false">0</f>
        <v>0</v>
      </c>
      <c r="T24" s="26" t="n">
        <f aca="false">0</f>
        <v>0</v>
      </c>
      <c r="U24" s="26" t="n">
        <f aca="false">0</f>
        <v>0</v>
      </c>
      <c r="V24" s="26" t="n">
        <f aca="false">0</f>
        <v>0</v>
      </c>
      <c r="W24" s="26" t="n">
        <f aca="false">0</f>
        <v>0</v>
      </c>
      <c r="X24" s="26" t="n">
        <f aca="false">0</f>
        <v>0</v>
      </c>
      <c r="Y24" s="26" t="n">
        <f aca="false">0</f>
        <v>0</v>
      </c>
      <c r="Z24" s="27" t="n">
        <f aca="false">SUM(B24:Y24)</f>
        <v>1000000</v>
      </c>
    </row>
    <row r="25" customFormat="false" ht="15" hidden="false" customHeight="false" outlineLevel="0" collapsed="false">
      <c r="A25" s="22" t="s">
        <v>170</v>
      </c>
      <c r="B25" s="28" t="n">
        <f aca="false">Supuestos!$B$32/3</f>
        <v>83333.3333333333</v>
      </c>
      <c r="C25" s="28" t="n">
        <f aca="false">Supuestos!$B$32/3</f>
        <v>83333.3333333333</v>
      </c>
      <c r="D25" s="28" t="n">
        <f aca="false">Supuestos!$B$32/3</f>
        <v>83333.3333333333</v>
      </c>
      <c r="E25" s="28" t="n">
        <f aca="false">0</f>
        <v>0</v>
      </c>
      <c r="F25" s="28" t="n">
        <f aca="false">0</f>
        <v>0</v>
      </c>
      <c r="G25" s="28" t="n">
        <f aca="false">0</f>
        <v>0</v>
      </c>
      <c r="H25" s="28" t="n">
        <f aca="false">0</f>
        <v>0</v>
      </c>
      <c r="I25" s="28" t="n">
        <f aca="false">0</f>
        <v>0</v>
      </c>
      <c r="J25" s="28" t="n">
        <f aca="false">0</f>
        <v>0</v>
      </c>
      <c r="K25" s="28" t="n">
        <f aca="false">0</f>
        <v>0</v>
      </c>
      <c r="L25" s="28" t="n">
        <f aca="false">0</f>
        <v>0</v>
      </c>
      <c r="M25" s="28" t="n">
        <f aca="false">0</f>
        <v>0</v>
      </c>
      <c r="N25" s="28" t="n">
        <f aca="false">0</f>
        <v>0</v>
      </c>
      <c r="O25" s="28" t="n">
        <f aca="false">0</f>
        <v>0</v>
      </c>
      <c r="P25" s="28" t="n">
        <f aca="false">0</f>
        <v>0</v>
      </c>
      <c r="Q25" s="28" t="n">
        <f aca="false">0</f>
        <v>0</v>
      </c>
      <c r="R25" s="28" t="n">
        <f aca="false">0</f>
        <v>0</v>
      </c>
      <c r="S25" s="28" t="n">
        <f aca="false">0</f>
        <v>0</v>
      </c>
      <c r="T25" s="28" t="n">
        <f aca="false">0</f>
        <v>0</v>
      </c>
      <c r="U25" s="28" t="n">
        <f aca="false">0</f>
        <v>0</v>
      </c>
      <c r="V25" s="28" t="n">
        <f aca="false">0</f>
        <v>0</v>
      </c>
      <c r="W25" s="28" t="n">
        <f aca="false">0</f>
        <v>0</v>
      </c>
      <c r="X25" s="28" t="n">
        <f aca="false">0</f>
        <v>0</v>
      </c>
      <c r="Y25" s="28" t="n">
        <f aca="false">0</f>
        <v>0</v>
      </c>
      <c r="Z25" s="27" t="n">
        <f aca="false">SUM(B25:Y25)</f>
        <v>250000</v>
      </c>
    </row>
    <row r="26" customFormat="false" ht="15" hidden="false" customHeight="false" outlineLevel="0" collapsed="false">
      <c r="A26" s="22" t="s">
        <v>171</v>
      </c>
      <c r="B26" s="28" t="n">
        <f aca="false">Supuestos!$B$33/6</f>
        <v>45833.3333333333</v>
      </c>
      <c r="C26" s="28" t="n">
        <f aca="false">Supuestos!$B$33/6</f>
        <v>45833.3333333333</v>
      </c>
      <c r="D26" s="28" t="n">
        <f aca="false">Supuestos!$B$33/6</f>
        <v>45833.3333333333</v>
      </c>
      <c r="E26" s="28" t="n">
        <f aca="false">Supuestos!$B$33/6</f>
        <v>45833.3333333333</v>
      </c>
      <c r="F26" s="28" t="n">
        <f aca="false">Supuestos!$B$33/6</f>
        <v>45833.3333333333</v>
      </c>
      <c r="G26" s="28" t="n">
        <f aca="false">Supuestos!$B$33/6</f>
        <v>45833.3333333333</v>
      </c>
      <c r="H26" s="28" t="n">
        <f aca="false">0</f>
        <v>0</v>
      </c>
      <c r="I26" s="28" t="n">
        <f aca="false">0</f>
        <v>0</v>
      </c>
      <c r="J26" s="28" t="n">
        <f aca="false">0</f>
        <v>0</v>
      </c>
      <c r="K26" s="28" t="n">
        <f aca="false">0</f>
        <v>0</v>
      </c>
      <c r="L26" s="28" t="n">
        <f aca="false">0</f>
        <v>0</v>
      </c>
      <c r="M26" s="28" t="n">
        <f aca="false">0</f>
        <v>0</v>
      </c>
      <c r="N26" s="28" t="n">
        <f aca="false">0</f>
        <v>0</v>
      </c>
      <c r="O26" s="28" t="n">
        <f aca="false">0</f>
        <v>0</v>
      </c>
      <c r="P26" s="28" t="n">
        <f aca="false">0</f>
        <v>0</v>
      </c>
      <c r="Q26" s="28" t="n">
        <f aca="false">0</f>
        <v>0</v>
      </c>
      <c r="R26" s="28" t="n">
        <f aca="false">0</f>
        <v>0</v>
      </c>
      <c r="S26" s="28" t="n">
        <f aca="false">0</f>
        <v>0</v>
      </c>
      <c r="T26" s="28" t="n">
        <f aca="false">0</f>
        <v>0</v>
      </c>
      <c r="U26" s="28" t="n">
        <f aca="false">0</f>
        <v>0</v>
      </c>
      <c r="V26" s="28" t="n">
        <f aca="false">0</f>
        <v>0</v>
      </c>
      <c r="W26" s="28" t="n">
        <f aca="false">0</f>
        <v>0</v>
      </c>
      <c r="X26" s="28" t="n">
        <f aca="false">0</f>
        <v>0</v>
      </c>
      <c r="Y26" s="28" t="n">
        <f aca="false">0</f>
        <v>0</v>
      </c>
      <c r="Z26" s="27" t="n">
        <f aca="false">SUM(B26:Y26)</f>
        <v>275000</v>
      </c>
    </row>
    <row r="27" customFormat="false" ht="15" hidden="false" customHeight="false" outlineLevel="0" collapsed="false">
      <c r="A27" s="25" t="s">
        <v>172</v>
      </c>
      <c r="B27" s="26" t="n">
        <f aca="false">B25+B26</f>
        <v>129166.666666667</v>
      </c>
      <c r="C27" s="26" t="n">
        <f aca="false">C25+C26</f>
        <v>129166.666666667</v>
      </c>
      <c r="D27" s="26" t="n">
        <f aca="false">D25+D26</f>
        <v>129166.666666667</v>
      </c>
      <c r="E27" s="26" t="n">
        <f aca="false">E25+E26</f>
        <v>45833.3333333333</v>
      </c>
      <c r="F27" s="26" t="n">
        <f aca="false">F25+F26</f>
        <v>45833.3333333333</v>
      </c>
      <c r="G27" s="26" t="n">
        <f aca="false">G25+G26</f>
        <v>45833.3333333333</v>
      </c>
      <c r="H27" s="26" t="n">
        <f aca="false">H25+H26</f>
        <v>0</v>
      </c>
      <c r="I27" s="26" t="n">
        <f aca="false">I25+I26</f>
        <v>0</v>
      </c>
      <c r="J27" s="26" t="n">
        <f aca="false">J25+J26</f>
        <v>0</v>
      </c>
      <c r="K27" s="26" t="n">
        <f aca="false">K25+K26</f>
        <v>0</v>
      </c>
      <c r="L27" s="26" t="n">
        <f aca="false">L25+L26</f>
        <v>0</v>
      </c>
      <c r="M27" s="26" t="n">
        <f aca="false">M25+M26</f>
        <v>0</v>
      </c>
      <c r="N27" s="26" t="n">
        <f aca="false">N25+N26</f>
        <v>0</v>
      </c>
      <c r="O27" s="26" t="n">
        <f aca="false">O25+O26</f>
        <v>0</v>
      </c>
      <c r="P27" s="26" t="n">
        <f aca="false">P25+P26</f>
        <v>0</v>
      </c>
      <c r="Q27" s="26" t="n">
        <f aca="false">Q25+Q26</f>
        <v>0</v>
      </c>
      <c r="R27" s="26" t="n">
        <f aca="false">R25+R26</f>
        <v>0</v>
      </c>
      <c r="S27" s="26" t="n">
        <f aca="false">S25+S26</f>
        <v>0</v>
      </c>
      <c r="T27" s="26" t="n">
        <f aca="false">T25+T26</f>
        <v>0</v>
      </c>
      <c r="U27" s="26" t="n">
        <f aca="false">U25+U26</f>
        <v>0</v>
      </c>
      <c r="V27" s="26" t="n">
        <f aca="false">V25+V26</f>
        <v>0</v>
      </c>
      <c r="W27" s="26" t="n">
        <f aca="false">W25+W26</f>
        <v>0</v>
      </c>
      <c r="X27" s="26" t="n">
        <f aca="false">X25+X26</f>
        <v>0</v>
      </c>
      <c r="Y27" s="26" t="n">
        <f aca="false">Y25+Y26</f>
        <v>0</v>
      </c>
      <c r="Z27" s="27" t="n">
        <f aca="false">SUM(B27:Y27)</f>
        <v>525000</v>
      </c>
    </row>
    <row r="28" customFormat="false" ht="15" hidden="false" customHeight="false" outlineLevel="0" collapsed="false">
      <c r="A28" s="22" t="s">
        <v>173</v>
      </c>
      <c r="B28" s="29" t="n">
        <f aca="false">IF(B21&gt;0,1,999)</f>
        <v>1</v>
      </c>
      <c r="C28" s="29" t="n">
        <f aca="false">IF(C21&gt;0,2,999)</f>
        <v>2</v>
      </c>
      <c r="D28" s="29" t="n">
        <f aca="false">IF(D21&gt;0,3,999)</f>
        <v>3</v>
      </c>
      <c r="E28" s="29" t="n">
        <f aca="false">IF(E21&gt;0,4,999)</f>
        <v>4</v>
      </c>
      <c r="F28" s="29" t="n">
        <f aca="false">IF(F21&gt;0,5,999)</f>
        <v>5</v>
      </c>
      <c r="G28" s="29" t="n">
        <f aca="false">IF(G21&gt;0,6,999)</f>
        <v>6</v>
      </c>
      <c r="H28" s="29" t="n">
        <f aca="false">IF(H21&gt;0,7,999)</f>
        <v>7</v>
      </c>
      <c r="I28" s="29" t="n">
        <f aca="false">IF(I21&gt;0,8,999)</f>
        <v>8</v>
      </c>
      <c r="J28" s="29" t="n">
        <f aca="false">IF(J21&gt;0,9,999)</f>
        <v>9</v>
      </c>
      <c r="K28" s="29" t="n">
        <f aca="false">IF(K21&gt;0,10,999)</f>
        <v>10</v>
      </c>
      <c r="L28" s="29" t="n">
        <f aca="false">IF(L21&gt;0,11,999)</f>
        <v>11</v>
      </c>
      <c r="M28" s="29" t="n">
        <f aca="false">IF(M21&gt;0,12,999)</f>
        <v>12</v>
      </c>
      <c r="N28" s="29" t="n">
        <f aca="false">IF(N21&gt;0,13,999)</f>
        <v>13</v>
      </c>
      <c r="O28" s="29" t="n">
        <f aca="false">IF(O21&gt;0,14,999)</f>
        <v>14</v>
      </c>
      <c r="P28" s="29" t="n">
        <f aca="false">IF(P21&gt;0,15,999)</f>
        <v>15</v>
      </c>
      <c r="Q28" s="29" t="n">
        <f aca="false">IF(Q21&gt;0,16,999)</f>
        <v>16</v>
      </c>
      <c r="R28" s="29" t="n">
        <f aca="false">IF(R21&gt;0,17,999)</f>
        <v>17</v>
      </c>
      <c r="S28" s="29" t="n">
        <f aca="false">IF(S21&gt;0,18,999)</f>
        <v>18</v>
      </c>
      <c r="T28" s="29" t="n">
        <f aca="false">IF(T21&gt;0,19,999)</f>
        <v>19</v>
      </c>
      <c r="U28" s="29" t="n">
        <f aca="false">IF(U21&gt;0,20,999)</f>
        <v>20</v>
      </c>
      <c r="V28" s="29" t="n">
        <f aca="false">IF(V21&gt;0,21,999)</f>
        <v>21</v>
      </c>
      <c r="W28" s="29" t="n">
        <f aca="false">IF(W21&gt;0,22,999)</f>
        <v>22</v>
      </c>
      <c r="X28" s="29" t="n">
        <f aca="false">IF(X21&gt;0,23,999)</f>
        <v>23</v>
      </c>
      <c r="Y28" s="29" t="n">
        <f aca="false">IF(Y21&gt;0,24,999)</f>
        <v>24</v>
      </c>
    </row>
    <row r="29" customFormat="false" ht="15" hidden="false" customHeight="false" outlineLevel="0" collapsed="false">
      <c r="A29" s="9" t="s">
        <v>174</v>
      </c>
    </row>
    <row r="30" customFormat="false" ht="15" hidden="false" customHeight="false" outlineLevel="0" collapsed="false">
      <c r="A30" s="25" t="s">
        <v>175</v>
      </c>
      <c r="B30" s="26" t="n">
        <f aca="false">MIN(B6*Supuestos!$B$27,MAX(B22,0))</f>
        <v>75798.6928104575</v>
      </c>
      <c r="C30" s="26" t="n">
        <f aca="false">MIN(C6*Supuestos!$B$27,MAX(C22,0))</f>
        <v>80000</v>
      </c>
      <c r="D30" s="26" t="n">
        <f aca="false">MIN(D6*Supuestos!$B$27,MAX(D22,0))</f>
        <v>80000</v>
      </c>
      <c r="E30" s="26" t="n">
        <f aca="false">MIN(E6*Supuestos!$B$27,MAX(E22,0))</f>
        <v>80000</v>
      </c>
      <c r="F30" s="26" t="n">
        <f aca="false">MIN(F6*Supuestos!$B$27,MAX(F22,0))</f>
        <v>80000</v>
      </c>
      <c r="G30" s="26" t="n">
        <f aca="false">MIN(G6*Supuestos!$B$27,MAX(G22,0))</f>
        <v>80000</v>
      </c>
      <c r="H30" s="26" t="n">
        <f aca="false">MIN(H6*Supuestos!$B$27,MAX(H22,0))</f>
        <v>80000</v>
      </c>
      <c r="I30" s="26" t="n">
        <f aca="false">MIN(I6*Supuestos!$B$27,MAX(I22,0))</f>
        <v>80000</v>
      </c>
      <c r="J30" s="26" t="n">
        <f aca="false">MIN(J6*Supuestos!$B$27,MAX(J22,0))</f>
        <v>80000</v>
      </c>
      <c r="K30" s="26" t="n">
        <f aca="false">MIN(K6*Supuestos!$B$27,MAX(K22,0))</f>
        <v>80000</v>
      </c>
      <c r="L30" s="26" t="n">
        <f aca="false">MIN(L6*Supuestos!$B$27,MAX(L22,0))</f>
        <v>80000</v>
      </c>
      <c r="M30" s="26" t="n">
        <f aca="false">MIN(M6*Supuestos!$B$27,MAX(M22,0))</f>
        <v>80000</v>
      </c>
      <c r="N30" s="26" t="n">
        <f aca="false">MIN(N6*Supuestos!$B$27,MAX(N22,0))</f>
        <v>80000</v>
      </c>
      <c r="O30" s="26" t="n">
        <f aca="false">MIN(O6*Supuestos!$B$27,MAX(O22,0))</f>
        <v>80000</v>
      </c>
      <c r="P30" s="26" t="n">
        <f aca="false">MIN(P6*Supuestos!$B$27,MAX(P22,0))</f>
        <v>80000</v>
      </c>
      <c r="Q30" s="26" t="n">
        <f aca="false">MIN(Q6*Supuestos!$B$27,MAX(Q22,0))</f>
        <v>80000</v>
      </c>
      <c r="R30" s="26" t="n">
        <f aca="false">MIN(R6*Supuestos!$B$27,MAX(R22,0))</f>
        <v>80000</v>
      </c>
      <c r="S30" s="26" t="n">
        <f aca="false">MIN(S6*Supuestos!$B$27,MAX(S22,0))</f>
        <v>80000</v>
      </c>
      <c r="T30" s="26" t="n">
        <f aca="false">MIN(T6*Supuestos!$B$27,MAX(T22,0))</f>
        <v>80000</v>
      </c>
      <c r="U30" s="26" t="n">
        <f aca="false">MIN(U6*Supuestos!$B$27,MAX(U22,0))</f>
        <v>80000</v>
      </c>
      <c r="V30" s="26" t="n">
        <f aca="false">MIN(V6*Supuestos!$B$27,MAX(V22,0))</f>
        <v>80000</v>
      </c>
      <c r="W30" s="26" t="n">
        <f aca="false">MIN(W6*Supuestos!$B$27,MAX(W22,0))</f>
        <v>80000</v>
      </c>
      <c r="X30" s="26" t="n">
        <f aca="false">MIN(X6*Supuestos!$B$27,MAX(X22,0))</f>
        <v>80000</v>
      </c>
      <c r="Y30" s="26" t="n">
        <f aca="false">MIN(Y6*Supuestos!$B$27,MAX(Y22,0))</f>
        <v>80000</v>
      </c>
      <c r="Z30" s="27" t="n">
        <f aca="false">SUM(B30:Y30)</f>
        <v>1915798.69281046</v>
      </c>
    </row>
    <row r="31" customFormat="false" ht="15" hidden="false" customHeight="false" outlineLevel="0" collapsed="false">
      <c r="A31" s="22" t="s">
        <v>176</v>
      </c>
      <c r="B31" s="28" t="n">
        <f aca="false">B30*Supuestos!$B$24</f>
        <v>15159.7385620915</v>
      </c>
      <c r="C31" s="28" t="n">
        <f aca="false">C30*Supuestos!$B$24</f>
        <v>16000</v>
      </c>
      <c r="D31" s="28" t="n">
        <f aca="false">D30*Supuestos!$B$24</f>
        <v>16000</v>
      </c>
      <c r="E31" s="28" t="n">
        <f aca="false">E30*Supuestos!$B$24</f>
        <v>16000</v>
      </c>
      <c r="F31" s="28" t="n">
        <f aca="false">F30*Supuestos!$B$24</f>
        <v>16000</v>
      </c>
      <c r="G31" s="28" t="n">
        <f aca="false">G30*Supuestos!$B$24</f>
        <v>16000</v>
      </c>
      <c r="H31" s="28" t="n">
        <f aca="false">H30*Supuestos!$B$24</f>
        <v>16000</v>
      </c>
      <c r="I31" s="28" t="n">
        <f aca="false">I30*Supuestos!$B$24</f>
        <v>16000</v>
      </c>
      <c r="J31" s="28" t="n">
        <f aca="false">J30*Supuestos!$B$24</f>
        <v>16000</v>
      </c>
      <c r="K31" s="28" t="n">
        <f aca="false">K30*Supuestos!$B$24</f>
        <v>16000</v>
      </c>
      <c r="L31" s="28" t="n">
        <f aca="false">L30*Supuestos!$B$24</f>
        <v>16000</v>
      </c>
      <c r="M31" s="28" t="n">
        <f aca="false">M30*Supuestos!$B$24</f>
        <v>16000</v>
      </c>
      <c r="N31" s="28" t="n">
        <f aca="false">N30*Supuestos!$B$24</f>
        <v>16000</v>
      </c>
      <c r="O31" s="28" t="n">
        <f aca="false">O30*Supuestos!$B$24</f>
        <v>16000</v>
      </c>
      <c r="P31" s="28" t="n">
        <f aca="false">P30*Supuestos!$B$24</f>
        <v>16000</v>
      </c>
      <c r="Q31" s="28" t="n">
        <f aca="false">Q30*Supuestos!$B$24</f>
        <v>16000</v>
      </c>
      <c r="R31" s="28" t="n">
        <f aca="false">R30*Supuestos!$B$24</f>
        <v>16000</v>
      </c>
      <c r="S31" s="28" t="n">
        <f aca="false">S30*Supuestos!$B$24</f>
        <v>16000</v>
      </c>
      <c r="T31" s="28" t="n">
        <f aca="false">T30*Supuestos!$B$24</f>
        <v>16000</v>
      </c>
      <c r="U31" s="28" t="n">
        <f aca="false">U30*Supuestos!$B$24</f>
        <v>16000</v>
      </c>
      <c r="V31" s="28" t="n">
        <f aca="false">V30*Supuestos!$B$24</f>
        <v>16000</v>
      </c>
      <c r="W31" s="28" t="n">
        <f aca="false">W30*Supuestos!$B$24</f>
        <v>16000</v>
      </c>
      <c r="X31" s="28" t="n">
        <f aca="false">X30*Supuestos!$B$24</f>
        <v>16000</v>
      </c>
      <c r="Y31" s="28" t="n">
        <f aca="false">Y30*Supuestos!$B$24</f>
        <v>16000</v>
      </c>
      <c r="Z31" s="27" t="n">
        <f aca="false">SUM(B31:Y31)</f>
        <v>383159.738562092</v>
      </c>
    </row>
    <row r="32" customFormat="false" ht="15" hidden="false" customHeight="false" outlineLevel="0" collapsed="false">
      <c r="A32" s="22" t="s">
        <v>177</v>
      </c>
      <c r="B32" s="28" t="n">
        <f aca="false">B30*Supuestos!$B$25</f>
        <v>60638.954248366</v>
      </c>
      <c r="C32" s="28" t="n">
        <f aca="false">C30*Supuestos!$B$25</f>
        <v>64000</v>
      </c>
      <c r="D32" s="28" t="n">
        <f aca="false">D30*Supuestos!$B$25</f>
        <v>64000</v>
      </c>
      <c r="E32" s="28" t="n">
        <f aca="false">E30*Supuestos!$B$25</f>
        <v>64000</v>
      </c>
      <c r="F32" s="28" t="n">
        <f aca="false">F30*Supuestos!$B$25</f>
        <v>64000</v>
      </c>
      <c r="G32" s="28" t="n">
        <f aca="false">G30*Supuestos!$B$25</f>
        <v>64000</v>
      </c>
      <c r="H32" s="28" t="n">
        <f aca="false">H30*Supuestos!$B$25</f>
        <v>64000</v>
      </c>
      <c r="I32" s="28" t="n">
        <f aca="false">I30*Supuestos!$B$25</f>
        <v>64000</v>
      </c>
      <c r="J32" s="28" t="n">
        <f aca="false">J30*Supuestos!$B$25</f>
        <v>64000</v>
      </c>
      <c r="K32" s="28" t="n">
        <f aca="false">K30*Supuestos!$B$25</f>
        <v>64000</v>
      </c>
      <c r="L32" s="28" t="n">
        <f aca="false">L30*Supuestos!$B$25</f>
        <v>64000</v>
      </c>
      <c r="M32" s="28" t="n">
        <f aca="false">M30*Supuestos!$B$25</f>
        <v>64000</v>
      </c>
      <c r="N32" s="28" t="n">
        <f aca="false">N30*Supuestos!$B$25</f>
        <v>64000</v>
      </c>
      <c r="O32" s="28" t="n">
        <f aca="false">O30*Supuestos!$B$25</f>
        <v>64000</v>
      </c>
      <c r="P32" s="28" t="n">
        <f aca="false">P30*Supuestos!$B$25</f>
        <v>64000</v>
      </c>
      <c r="Q32" s="28" t="n">
        <f aca="false">Q30*Supuestos!$B$25</f>
        <v>64000</v>
      </c>
      <c r="R32" s="28" t="n">
        <f aca="false">R30*Supuestos!$B$25</f>
        <v>64000</v>
      </c>
      <c r="S32" s="28" t="n">
        <f aca="false">S30*Supuestos!$B$25</f>
        <v>64000</v>
      </c>
      <c r="T32" s="28" t="n">
        <f aca="false">T30*Supuestos!$B$25</f>
        <v>64000</v>
      </c>
      <c r="U32" s="28" t="n">
        <f aca="false">U30*Supuestos!$B$25</f>
        <v>64000</v>
      </c>
      <c r="V32" s="28" t="n">
        <f aca="false">V30*Supuestos!$B$25</f>
        <v>64000</v>
      </c>
      <c r="W32" s="28" t="n">
        <f aca="false">W30*Supuestos!$B$25</f>
        <v>64000</v>
      </c>
      <c r="X32" s="28" t="n">
        <f aca="false">X30*Supuestos!$B$25</f>
        <v>64000</v>
      </c>
      <c r="Y32" s="28" t="n">
        <f aca="false">Y30*Supuestos!$B$25</f>
        <v>64000</v>
      </c>
      <c r="Z32" s="27" t="n">
        <f aca="false">SUM(B32:Y32)</f>
        <v>1532638.95424837</v>
      </c>
    </row>
    <row r="33" customFormat="false" ht="15" hidden="false" customHeight="false" outlineLevel="0" collapsed="false">
      <c r="A33" s="22" t="s">
        <v>178</v>
      </c>
      <c r="B33" s="28" t="n">
        <f aca="false">B22-B30</f>
        <v>0</v>
      </c>
      <c r="C33" s="28" t="n">
        <f aca="false">C22-C30</f>
        <v>3798.69281045752</v>
      </c>
      <c r="D33" s="28" t="n">
        <f aca="false">D22-D30</f>
        <v>3798.69281045752</v>
      </c>
      <c r="E33" s="28" t="n">
        <f aca="false">E22-E30</f>
        <v>3798.69281045752</v>
      </c>
      <c r="F33" s="28" t="n">
        <f aca="false">F22-F30</f>
        <v>3798.69281045752</v>
      </c>
      <c r="G33" s="28" t="n">
        <f aca="false">G22-G30</f>
        <v>3798.69281045752</v>
      </c>
      <c r="H33" s="28" t="n">
        <f aca="false">H22-H30</f>
        <v>3798.69281045752</v>
      </c>
      <c r="I33" s="28" t="n">
        <f aca="false">I22-I30</f>
        <v>3798.69281045752</v>
      </c>
      <c r="J33" s="28" t="n">
        <f aca="false">J22-J30</f>
        <v>3798.69281045752</v>
      </c>
      <c r="K33" s="28" t="n">
        <f aca="false">K22-K30</f>
        <v>3798.69281045752</v>
      </c>
      <c r="L33" s="28" t="n">
        <f aca="false">L22-L30</f>
        <v>3798.69281045752</v>
      </c>
      <c r="M33" s="28" t="n">
        <f aca="false">M22-M30</f>
        <v>3798.69281045752</v>
      </c>
      <c r="N33" s="28" t="n">
        <f aca="false">N22-N30</f>
        <v>3798.69281045752</v>
      </c>
      <c r="O33" s="28" t="n">
        <f aca="false">O22-O30</f>
        <v>3798.69281045752</v>
      </c>
      <c r="P33" s="28" t="n">
        <f aca="false">P22-P30</f>
        <v>3798.69281045752</v>
      </c>
      <c r="Q33" s="28" t="n">
        <f aca="false">Q22-Q30</f>
        <v>3798.69281045752</v>
      </c>
      <c r="R33" s="28" t="n">
        <f aca="false">R22-R30</f>
        <v>3798.69281045752</v>
      </c>
      <c r="S33" s="28" t="n">
        <f aca="false">S22-S30</f>
        <v>3798.69281045752</v>
      </c>
      <c r="T33" s="28" t="n">
        <f aca="false">T22-T30</f>
        <v>3798.69281045752</v>
      </c>
      <c r="U33" s="28" t="n">
        <f aca="false">U22-U30</f>
        <v>3798.69281045752</v>
      </c>
      <c r="V33" s="28" t="n">
        <f aca="false">V22-V30</f>
        <v>3798.69281045752</v>
      </c>
      <c r="W33" s="28" t="n">
        <f aca="false">W22-W30</f>
        <v>3798.69281045752</v>
      </c>
      <c r="X33" s="28" t="n">
        <f aca="false">X22-X30</f>
        <v>3798.69281045752</v>
      </c>
      <c r="Y33" s="28" t="n">
        <f aca="false">Y22-Y30</f>
        <v>3798.69281045752</v>
      </c>
      <c r="Z33" s="27" t="n">
        <f aca="false">SUM(B33:Y33)</f>
        <v>87369.934640523</v>
      </c>
    </row>
    <row r="34" customFormat="false" ht="15" hidden="false" customHeight="false" outlineLevel="0" collapsed="false">
      <c r="A34" s="9" t="s">
        <v>179</v>
      </c>
    </row>
    <row r="35" customFormat="false" ht="15" hidden="false" customHeight="false" outlineLevel="0" collapsed="false">
      <c r="A35" s="25" t="s">
        <v>180</v>
      </c>
      <c r="B35" s="26" t="n">
        <f aca="false">B20+B24-B27-B30</f>
        <v>861833.333333333</v>
      </c>
      <c r="C35" s="26" t="n">
        <f aca="false">C20+C24-C27-C30</f>
        <v>-125367.973856209</v>
      </c>
      <c r="D35" s="26" t="n">
        <f aca="false">D20+D24-D27-D30</f>
        <v>-125367.973856209</v>
      </c>
      <c r="E35" s="26" t="n">
        <f aca="false">E20+E24-E27-E30</f>
        <v>-42034.6405228758</v>
      </c>
      <c r="F35" s="26" t="n">
        <f aca="false">F20+F24-F27-F30</f>
        <v>-42034.6405228758</v>
      </c>
      <c r="G35" s="26" t="n">
        <f aca="false">G20+G24-G27-G30</f>
        <v>-42034.6405228758</v>
      </c>
      <c r="H35" s="26" t="n">
        <f aca="false">H20+H24-H27-H30</f>
        <v>3798.69281045752</v>
      </c>
      <c r="I35" s="26" t="n">
        <f aca="false">I20+I24-I27-I30</f>
        <v>3798.69281045752</v>
      </c>
      <c r="J35" s="26" t="n">
        <f aca="false">J20+J24-J27-J30</f>
        <v>3798.69281045752</v>
      </c>
      <c r="K35" s="26" t="n">
        <f aca="false">K20+K24-K27-K30</f>
        <v>3798.69281045752</v>
      </c>
      <c r="L35" s="26" t="n">
        <f aca="false">L20+L24-L27-L30</f>
        <v>3798.69281045752</v>
      </c>
      <c r="M35" s="26" t="n">
        <f aca="false">M20+M24-M27-M30</f>
        <v>3798.69281045752</v>
      </c>
      <c r="N35" s="26" t="n">
        <f aca="false">N20+N24-N27-N30</f>
        <v>3798.69281045752</v>
      </c>
      <c r="O35" s="26" t="n">
        <f aca="false">O20+O24-O27-O30</f>
        <v>3798.69281045752</v>
      </c>
      <c r="P35" s="26" t="n">
        <f aca="false">P20+P24-P27-P30</f>
        <v>3798.69281045752</v>
      </c>
      <c r="Q35" s="26" t="n">
        <f aca="false">Q20+Q24-Q27-Q30</f>
        <v>3798.69281045752</v>
      </c>
      <c r="R35" s="26" t="n">
        <f aca="false">R20+R24-R27-R30</f>
        <v>3798.69281045752</v>
      </c>
      <c r="S35" s="26" t="n">
        <f aca="false">S20+S24-S27-S30</f>
        <v>3798.69281045752</v>
      </c>
      <c r="T35" s="26" t="n">
        <f aca="false">T20+T24-T27-T30</f>
        <v>3798.69281045752</v>
      </c>
      <c r="U35" s="26" t="n">
        <f aca="false">U20+U24-U27-U30</f>
        <v>3798.69281045752</v>
      </c>
      <c r="V35" s="26" t="n">
        <f aca="false">V20+V24-V27-V30</f>
        <v>3798.69281045752</v>
      </c>
      <c r="W35" s="26" t="n">
        <f aca="false">W20+W24-W27-W30</f>
        <v>3798.69281045752</v>
      </c>
      <c r="X35" s="26" t="n">
        <f aca="false">X20+X24-X27-X30</f>
        <v>3798.69281045752</v>
      </c>
      <c r="Y35" s="26" t="n">
        <f aca="false">Y20+Y24-Y27-Y30</f>
        <v>3798.69281045752</v>
      </c>
      <c r="Z35" s="27" t="n">
        <f aca="false">SUM(B35:Y35)</f>
        <v>553369.934640523</v>
      </c>
    </row>
    <row r="36" customFormat="false" ht="15" hidden="false" customHeight="false" outlineLevel="0" collapsed="false">
      <c r="A36" s="25" t="s">
        <v>181</v>
      </c>
      <c r="B36" s="26" t="n">
        <f aca="false">SUM($B$35:B$35)</f>
        <v>861833.333333333</v>
      </c>
      <c r="C36" s="26" t="n">
        <f aca="false">SUM($B$35:C$35)</f>
        <v>736465.359477124</v>
      </c>
      <c r="D36" s="26" t="n">
        <f aca="false">SUM($B$35:D$35)</f>
        <v>611097.385620915</v>
      </c>
      <c r="E36" s="26" t="n">
        <f aca="false">SUM($B$35:E$35)</f>
        <v>569062.745098039</v>
      </c>
      <c r="F36" s="26" t="n">
        <f aca="false">SUM($B$35:F$35)</f>
        <v>527028.104575163</v>
      </c>
      <c r="G36" s="26" t="n">
        <f aca="false">SUM($B$35:G$35)</f>
        <v>484993.464052288</v>
      </c>
      <c r="H36" s="26" t="n">
        <f aca="false">SUM($B$35:H$35)</f>
        <v>488792.156862745</v>
      </c>
      <c r="I36" s="26" t="n">
        <f aca="false">SUM($B$35:I$35)</f>
        <v>492590.849673203</v>
      </c>
      <c r="J36" s="26" t="n">
        <f aca="false">SUM($B$35:J$35)</f>
        <v>496389.54248366</v>
      </c>
      <c r="K36" s="26" t="n">
        <f aca="false">SUM($B$35:K$35)</f>
        <v>500188.235294118</v>
      </c>
      <c r="L36" s="26" t="n">
        <f aca="false">SUM($B$35:L$35)</f>
        <v>503986.928104575</v>
      </c>
      <c r="M36" s="26" t="n">
        <f aca="false">SUM($B$35:M$35)</f>
        <v>507785.620915033</v>
      </c>
      <c r="N36" s="26" t="n">
        <f aca="false">SUM($B$35:N$35)</f>
        <v>511584.31372549</v>
      </c>
      <c r="O36" s="26" t="n">
        <f aca="false">SUM($B$35:O$35)</f>
        <v>515383.006535948</v>
      </c>
      <c r="P36" s="26" t="n">
        <f aca="false">SUM($B$35:P$35)</f>
        <v>519181.699346405</v>
      </c>
      <c r="Q36" s="26" t="n">
        <f aca="false">SUM($B$35:Q$35)</f>
        <v>522980.392156863</v>
      </c>
      <c r="R36" s="26" t="n">
        <f aca="false">SUM($B$35:R$35)</f>
        <v>526779.08496732</v>
      </c>
      <c r="S36" s="26" t="n">
        <f aca="false">SUM($B$35:S$35)</f>
        <v>530577.777777778</v>
      </c>
      <c r="T36" s="26" t="n">
        <f aca="false">SUM($B$35:T$35)</f>
        <v>534376.470588235</v>
      </c>
      <c r="U36" s="26" t="n">
        <f aca="false">SUM($B$35:U$35)</f>
        <v>538175.163398693</v>
      </c>
      <c r="V36" s="26" t="n">
        <f aca="false">SUM($B$35:V$35)</f>
        <v>541973.85620915</v>
      </c>
      <c r="W36" s="26" t="n">
        <f aca="false">SUM($B$35:W$35)</f>
        <v>545772.549019608</v>
      </c>
      <c r="X36" s="26" t="n">
        <f aca="false">SUM($B$35:X$35)</f>
        <v>549571.241830065</v>
      </c>
      <c r="Y36" s="26" t="n">
        <f aca="false">SUM($B$35:Y$35)</f>
        <v>553369.934640523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4" min="1" style="0" width="17"/>
  </cols>
  <sheetData>
    <row r="1" customFormat="false" ht="17.35" hidden="false" customHeight="false" outlineLevel="0" collapsed="false">
      <c r="A1" s="1" t="s">
        <v>182</v>
      </c>
    </row>
    <row r="3" customFormat="false" ht="15" hidden="false" customHeight="false" outlineLevel="0" collapsed="false">
      <c r="A3" s="2" t="s">
        <v>183</v>
      </c>
      <c r="B3" s="2" t="s">
        <v>184</v>
      </c>
      <c r="C3" s="2" t="s">
        <v>185</v>
      </c>
      <c r="D3" s="2" t="s">
        <v>158</v>
      </c>
      <c r="E3" s="2" t="s">
        <v>186</v>
      </c>
      <c r="F3" s="2" t="s">
        <v>187</v>
      </c>
      <c r="G3" s="2" t="s">
        <v>188</v>
      </c>
      <c r="H3" s="2" t="s">
        <v>189</v>
      </c>
      <c r="I3" s="2" t="s">
        <v>190</v>
      </c>
      <c r="J3" s="2" t="s">
        <v>191</v>
      </c>
      <c r="K3" s="2" t="s">
        <v>192</v>
      </c>
      <c r="L3" s="2" t="s">
        <v>193</v>
      </c>
      <c r="M3" s="2" t="s">
        <v>194</v>
      </c>
      <c r="N3" s="2" t="s">
        <v>195</v>
      </c>
    </row>
    <row r="4" customFormat="false" ht="15" hidden="false" customHeight="false" outlineLevel="0" collapsed="false">
      <c r="A4" s="30" t="n">
        <v>1</v>
      </c>
      <c r="B4" s="31" t="n">
        <v>200</v>
      </c>
      <c r="C4" s="31" t="n">
        <v>0</v>
      </c>
      <c r="D4" s="31" t="n">
        <v>9150.32679738562</v>
      </c>
      <c r="E4" s="31" t="n">
        <v>12600</v>
      </c>
      <c r="F4" s="31" t="n">
        <v>9000</v>
      </c>
      <c r="G4" s="31" t="n">
        <v>5000</v>
      </c>
      <c r="H4" s="31" t="n">
        <v>2500</v>
      </c>
      <c r="I4" s="31" t="n">
        <v>8000</v>
      </c>
      <c r="J4" s="31" t="n">
        <v>46250.3267973856</v>
      </c>
      <c r="K4" s="31" t="n">
        <v>0</v>
      </c>
      <c r="L4" s="31" t="n">
        <v>-46250.3267973856</v>
      </c>
      <c r="M4" s="31" t="n">
        <v>-46250.3267973856</v>
      </c>
      <c r="N4" s="31" t="n">
        <v>103749.673202614</v>
      </c>
    </row>
    <row r="5" customFormat="false" ht="15" hidden="false" customHeight="false" outlineLevel="0" collapsed="false">
      <c r="A5" s="30" t="n">
        <v>2</v>
      </c>
      <c r="B5" s="31" t="n">
        <v>200</v>
      </c>
      <c r="C5" s="31" t="n">
        <v>52000</v>
      </c>
      <c r="D5" s="31" t="n">
        <v>9150.32679738562</v>
      </c>
      <c r="E5" s="31" t="n">
        <v>12600</v>
      </c>
      <c r="F5" s="31" t="n">
        <v>0</v>
      </c>
      <c r="G5" s="31" t="n">
        <v>5000</v>
      </c>
      <c r="H5" s="31" t="n">
        <v>2500</v>
      </c>
      <c r="I5" s="31" t="n">
        <v>0</v>
      </c>
      <c r="J5" s="31" t="n">
        <v>29250.3267973856</v>
      </c>
      <c r="K5" s="31" t="n">
        <v>0</v>
      </c>
      <c r="L5" s="31" t="n">
        <v>22749.6732026144</v>
      </c>
      <c r="M5" s="31" t="n">
        <v>-23500.6535947712</v>
      </c>
      <c r="N5" s="31" t="n">
        <v>126499.346405229</v>
      </c>
    </row>
    <row r="6" customFormat="false" ht="15" hidden="false" customHeight="false" outlineLevel="0" collapsed="false">
      <c r="A6" s="30" t="n">
        <v>3</v>
      </c>
      <c r="B6" s="31" t="n">
        <v>200</v>
      </c>
      <c r="C6" s="31" t="n">
        <v>52000</v>
      </c>
      <c r="D6" s="31" t="n">
        <v>9150.32679738562</v>
      </c>
      <c r="E6" s="31" t="n">
        <v>12600</v>
      </c>
      <c r="F6" s="31" t="n">
        <v>0</v>
      </c>
      <c r="G6" s="31" t="n">
        <v>5000</v>
      </c>
      <c r="H6" s="31" t="n">
        <v>2500</v>
      </c>
      <c r="I6" s="31" t="n">
        <v>0</v>
      </c>
      <c r="J6" s="31" t="n">
        <v>29250.3267973856</v>
      </c>
      <c r="K6" s="31" t="n">
        <v>0</v>
      </c>
      <c r="L6" s="31" t="n">
        <v>22749.6732026144</v>
      </c>
      <c r="M6" s="31" t="n">
        <v>-750.98039215686</v>
      </c>
      <c r="N6" s="31" t="n">
        <v>149249.019607843</v>
      </c>
    </row>
    <row r="7" customFormat="false" ht="15" hidden="false" customHeight="false" outlineLevel="0" collapsed="false">
      <c r="A7" s="30" t="n">
        <v>4</v>
      </c>
      <c r="B7" s="31" t="n">
        <v>200</v>
      </c>
      <c r="C7" s="31" t="n">
        <v>52000</v>
      </c>
      <c r="D7" s="31" t="n">
        <v>9150.32679738562</v>
      </c>
      <c r="E7" s="31" t="n">
        <v>12600</v>
      </c>
      <c r="F7" s="31" t="n">
        <v>0</v>
      </c>
      <c r="G7" s="31" t="n">
        <v>5000</v>
      </c>
      <c r="H7" s="31" t="n">
        <v>2500</v>
      </c>
      <c r="I7" s="31" t="n">
        <v>0</v>
      </c>
      <c r="J7" s="31" t="n">
        <v>29250.3267973856</v>
      </c>
      <c r="K7" s="31" t="n">
        <v>80000</v>
      </c>
      <c r="L7" s="31" t="n">
        <v>-57250.3267973856</v>
      </c>
      <c r="M7" s="31" t="n">
        <v>21998.6928104575</v>
      </c>
      <c r="N7" s="31" t="n">
        <v>91998.6928104576</v>
      </c>
    </row>
    <row r="8" customFormat="false" ht="15" hidden="false" customHeight="false" outlineLevel="0" collapsed="false">
      <c r="A8" s="30" t="n">
        <v>5</v>
      </c>
      <c r="B8" s="31" t="n">
        <v>200</v>
      </c>
      <c r="C8" s="31" t="n">
        <v>52000</v>
      </c>
      <c r="D8" s="31" t="n">
        <v>9150.32679738562</v>
      </c>
      <c r="E8" s="31" t="n">
        <v>12600</v>
      </c>
      <c r="F8" s="31" t="n">
        <v>0</v>
      </c>
      <c r="G8" s="31" t="n">
        <v>5000</v>
      </c>
      <c r="H8" s="31" t="n">
        <v>2500</v>
      </c>
      <c r="I8" s="31" t="n">
        <v>0</v>
      </c>
      <c r="J8" s="31" t="n">
        <v>29250.3267973856</v>
      </c>
      <c r="K8" s="31" t="n">
        <v>0</v>
      </c>
      <c r="L8" s="31" t="n">
        <v>22749.6732026144</v>
      </c>
      <c r="M8" s="31" t="n">
        <v>44748.3660130719</v>
      </c>
      <c r="N8" s="31" t="n">
        <v>114748.366013072</v>
      </c>
    </row>
    <row r="9" customFormat="false" ht="15" hidden="false" customHeight="false" outlineLevel="0" collapsed="false">
      <c r="A9" s="30" t="n">
        <v>6</v>
      </c>
      <c r="B9" s="31" t="n">
        <v>200</v>
      </c>
      <c r="C9" s="31" t="n">
        <v>52000</v>
      </c>
      <c r="D9" s="31" t="n">
        <v>9150.32679738562</v>
      </c>
      <c r="E9" s="31" t="n">
        <v>12600</v>
      </c>
      <c r="F9" s="31" t="n">
        <v>9000</v>
      </c>
      <c r="G9" s="31" t="n">
        <v>5000</v>
      </c>
      <c r="H9" s="31" t="n">
        <v>2500</v>
      </c>
      <c r="I9" s="31" t="n">
        <v>0</v>
      </c>
      <c r="J9" s="31" t="n">
        <v>38250.3267973856</v>
      </c>
      <c r="K9" s="31" t="n">
        <v>0</v>
      </c>
      <c r="L9" s="31" t="n">
        <v>13749.6732026144</v>
      </c>
      <c r="M9" s="31" t="n">
        <v>58498.0392156863</v>
      </c>
      <c r="N9" s="31" t="n">
        <v>128498.039215686</v>
      </c>
    </row>
    <row r="10" customFormat="false" ht="15" hidden="false" customHeight="false" outlineLevel="0" collapsed="false">
      <c r="A10" s="30" t="n">
        <v>7</v>
      </c>
      <c r="B10" s="31" t="n">
        <v>200</v>
      </c>
      <c r="C10" s="31" t="n">
        <v>52000</v>
      </c>
      <c r="D10" s="31" t="n">
        <v>9150.32679738562</v>
      </c>
      <c r="E10" s="31" t="n">
        <v>12600</v>
      </c>
      <c r="F10" s="31" t="n">
        <v>0</v>
      </c>
      <c r="G10" s="31" t="n">
        <v>5000</v>
      </c>
      <c r="H10" s="31" t="n">
        <v>2500</v>
      </c>
      <c r="I10" s="31" t="n">
        <v>0</v>
      </c>
      <c r="J10" s="31" t="n">
        <v>29250.3267973856</v>
      </c>
      <c r="K10" s="31" t="n">
        <v>0</v>
      </c>
      <c r="L10" s="31" t="n">
        <v>22749.6732026144</v>
      </c>
      <c r="M10" s="31" t="n">
        <v>81247.7124183007</v>
      </c>
      <c r="N10" s="31" t="n">
        <v>151247.712418301</v>
      </c>
    </row>
    <row r="11" customFormat="false" ht="15" hidden="false" customHeight="false" outlineLevel="0" collapsed="false">
      <c r="A11" s="30" t="n">
        <v>8</v>
      </c>
      <c r="B11" s="31" t="n">
        <v>200</v>
      </c>
      <c r="C11" s="31" t="n">
        <v>52000</v>
      </c>
      <c r="D11" s="31" t="n">
        <v>9150.32679738562</v>
      </c>
      <c r="E11" s="31" t="n">
        <v>12600</v>
      </c>
      <c r="F11" s="31" t="n">
        <v>0</v>
      </c>
      <c r="G11" s="31" t="n">
        <v>5000</v>
      </c>
      <c r="H11" s="31" t="n">
        <v>2500</v>
      </c>
      <c r="I11" s="31" t="n">
        <v>0</v>
      </c>
      <c r="J11" s="31" t="n">
        <v>29250.3267973856</v>
      </c>
      <c r="K11" s="31" t="n">
        <v>80000</v>
      </c>
      <c r="L11" s="31" t="n">
        <v>-57250.3267973856</v>
      </c>
      <c r="M11" s="31" t="n">
        <v>103997.385620915</v>
      </c>
      <c r="N11" s="31" t="n">
        <v>93997.3856209151</v>
      </c>
    </row>
    <row r="12" customFormat="false" ht="15" hidden="false" customHeight="false" outlineLevel="0" collapsed="false">
      <c r="A12" s="30" t="n">
        <v>9</v>
      </c>
      <c r="B12" s="31" t="n">
        <v>200</v>
      </c>
      <c r="C12" s="31" t="n">
        <v>52000</v>
      </c>
      <c r="D12" s="31" t="n">
        <v>9150.32679738562</v>
      </c>
      <c r="E12" s="31" t="n">
        <v>12600</v>
      </c>
      <c r="F12" s="31" t="n">
        <v>0</v>
      </c>
      <c r="G12" s="31" t="n">
        <v>5000</v>
      </c>
      <c r="H12" s="31" t="n">
        <v>2500</v>
      </c>
      <c r="I12" s="31" t="n">
        <v>0</v>
      </c>
      <c r="J12" s="31" t="n">
        <v>29250.3267973856</v>
      </c>
      <c r="K12" s="31" t="n">
        <v>0</v>
      </c>
      <c r="L12" s="31" t="n">
        <v>22749.6732026144</v>
      </c>
      <c r="M12" s="31" t="n">
        <v>126747.058823529</v>
      </c>
      <c r="N12" s="31" t="n">
        <v>116747.05882353</v>
      </c>
    </row>
    <row r="13" customFormat="false" ht="15" hidden="false" customHeight="false" outlineLevel="0" collapsed="false">
      <c r="A13" s="30" t="n">
        <v>10</v>
      </c>
      <c r="B13" s="31" t="n">
        <v>200</v>
      </c>
      <c r="C13" s="31" t="n">
        <v>52000</v>
      </c>
      <c r="D13" s="31" t="n">
        <v>9150.32679738562</v>
      </c>
      <c r="E13" s="31" t="n">
        <v>12600</v>
      </c>
      <c r="F13" s="31" t="n">
        <v>0</v>
      </c>
      <c r="G13" s="31" t="n">
        <v>5000</v>
      </c>
      <c r="H13" s="31" t="n">
        <v>2500</v>
      </c>
      <c r="I13" s="31" t="n">
        <v>0</v>
      </c>
      <c r="J13" s="31" t="n">
        <v>29250.3267973856</v>
      </c>
      <c r="K13" s="31" t="n">
        <v>0</v>
      </c>
      <c r="L13" s="31" t="n">
        <v>22749.6732026144</v>
      </c>
      <c r="M13" s="31" t="n">
        <v>149496.732026144</v>
      </c>
      <c r="N13" s="31" t="n">
        <v>139496.732026144</v>
      </c>
    </row>
    <row r="14" customFormat="false" ht="15" hidden="false" customHeight="false" outlineLevel="0" collapsed="false">
      <c r="A14" s="30" t="n">
        <v>11</v>
      </c>
      <c r="B14" s="31" t="n">
        <v>200</v>
      </c>
      <c r="C14" s="31" t="n">
        <v>52000</v>
      </c>
      <c r="D14" s="31" t="n">
        <v>9150.32679738562</v>
      </c>
      <c r="E14" s="31" t="n">
        <v>12600</v>
      </c>
      <c r="F14" s="31" t="n">
        <v>9000</v>
      </c>
      <c r="G14" s="31" t="n">
        <v>5000</v>
      </c>
      <c r="H14" s="31" t="n">
        <v>2500</v>
      </c>
      <c r="I14" s="31" t="n">
        <v>0</v>
      </c>
      <c r="J14" s="31" t="n">
        <v>38250.3267973856</v>
      </c>
      <c r="K14" s="31" t="n">
        <v>0</v>
      </c>
      <c r="L14" s="31" t="n">
        <v>13749.6732026144</v>
      </c>
      <c r="M14" s="31" t="n">
        <v>163246.405228758</v>
      </c>
      <c r="N14" s="31" t="n">
        <v>153246.405228758</v>
      </c>
    </row>
    <row r="15" customFormat="false" ht="15" hidden="false" customHeight="false" outlineLevel="0" collapsed="false">
      <c r="A15" s="30" t="n">
        <v>12</v>
      </c>
      <c r="B15" s="31" t="n">
        <v>200</v>
      </c>
      <c r="C15" s="31" t="n">
        <v>52000</v>
      </c>
      <c r="D15" s="31" t="n">
        <v>9150.32679738562</v>
      </c>
      <c r="E15" s="31" t="n">
        <v>12600</v>
      </c>
      <c r="F15" s="31" t="n">
        <v>0</v>
      </c>
      <c r="G15" s="31" t="n">
        <v>5000</v>
      </c>
      <c r="H15" s="31" t="n">
        <v>2500</v>
      </c>
      <c r="I15" s="31" t="n">
        <v>0</v>
      </c>
      <c r="J15" s="31" t="n">
        <v>29250.3267973856</v>
      </c>
      <c r="K15" s="31" t="n">
        <v>80000</v>
      </c>
      <c r="L15" s="31" t="n">
        <v>-57250.3267973856</v>
      </c>
      <c r="M15" s="31" t="n">
        <v>185996.078431373</v>
      </c>
      <c r="N15" s="31" t="n">
        <v>95996.0784313727</v>
      </c>
    </row>
    <row r="16" customFormat="false" ht="15" hidden="false" customHeight="false" outlineLevel="0" collapsed="false">
      <c r="A16" s="30" t="n">
        <v>13</v>
      </c>
      <c r="B16" s="31" t="n">
        <v>200</v>
      </c>
      <c r="C16" s="31" t="n">
        <v>52000</v>
      </c>
      <c r="D16" s="31" t="n">
        <v>9150.32679738562</v>
      </c>
      <c r="E16" s="31" t="n">
        <v>12600</v>
      </c>
      <c r="F16" s="31" t="n">
        <v>0</v>
      </c>
      <c r="G16" s="31" t="n">
        <v>5000</v>
      </c>
      <c r="H16" s="31" t="n">
        <v>2500</v>
      </c>
      <c r="I16" s="31" t="n">
        <v>0</v>
      </c>
      <c r="J16" s="31" t="n">
        <v>29250.3267973856</v>
      </c>
      <c r="K16" s="31" t="n">
        <v>0</v>
      </c>
      <c r="L16" s="31" t="n">
        <v>22749.6732026144</v>
      </c>
      <c r="M16" s="31" t="n">
        <v>208745.751633987</v>
      </c>
      <c r="N16" s="31" t="n">
        <v>118745.751633987</v>
      </c>
    </row>
    <row r="17" customFormat="false" ht="15" hidden="false" customHeight="false" outlineLevel="0" collapsed="false">
      <c r="A17" s="30" t="n">
        <v>14</v>
      </c>
      <c r="B17" s="31" t="n">
        <v>200</v>
      </c>
      <c r="C17" s="31" t="n">
        <v>52000</v>
      </c>
      <c r="D17" s="31" t="n">
        <v>9150.32679738562</v>
      </c>
      <c r="E17" s="31" t="n">
        <v>12600</v>
      </c>
      <c r="F17" s="31" t="n">
        <v>0</v>
      </c>
      <c r="G17" s="31" t="n">
        <v>5000</v>
      </c>
      <c r="H17" s="31" t="n">
        <v>2500</v>
      </c>
      <c r="I17" s="31" t="n">
        <v>0</v>
      </c>
      <c r="J17" s="31" t="n">
        <v>29250.3267973856</v>
      </c>
      <c r="K17" s="31" t="n">
        <v>0</v>
      </c>
      <c r="L17" s="31" t="n">
        <v>22749.6732026144</v>
      </c>
      <c r="M17" s="31" t="n">
        <v>231495.424836601</v>
      </c>
      <c r="N17" s="31" t="n">
        <v>141495.424836601</v>
      </c>
    </row>
    <row r="18" customFormat="false" ht="15" hidden="false" customHeight="false" outlineLevel="0" collapsed="false">
      <c r="A18" s="30" t="n">
        <v>15</v>
      </c>
      <c r="B18" s="31" t="n">
        <v>200</v>
      </c>
      <c r="C18" s="31" t="n">
        <v>52000</v>
      </c>
      <c r="D18" s="31" t="n">
        <v>9150.32679738562</v>
      </c>
      <c r="E18" s="31" t="n">
        <v>12600</v>
      </c>
      <c r="F18" s="31" t="n">
        <v>0</v>
      </c>
      <c r="G18" s="31" t="n">
        <v>5000</v>
      </c>
      <c r="H18" s="31" t="n">
        <v>2500</v>
      </c>
      <c r="I18" s="31" t="n">
        <v>0</v>
      </c>
      <c r="J18" s="31" t="n">
        <v>29250.3267973856</v>
      </c>
      <c r="K18" s="31" t="n">
        <v>0</v>
      </c>
      <c r="L18" s="31" t="n">
        <v>22749.6732026144</v>
      </c>
      <c r="M18" s="31" t="n">
        <v>254245.098039216</v>
      </c>
      <c r="N18" s="31" t="n">
        <v>164245.098039216</v>
      </c>
    </row>
    <row r="19" customFormat="false" ht="15" hidden="false" customHeight="false" outlineLevel="0" collapsed="false">
      <c r="A19" s="30" t="n">
        <v>16</v>
      </c>
      <c r="B19" s="31" t="n">
        <v>200</v>
      </c>
      <c r="C19" s="31" t="n">
        <v>52000</v>
      </c>
      <c r="D19" s="31" t="n">
        <v>9150.32679738562</v>
      </c>
      <c r="E19" s="31" t="n">
        <v>12600</v>
      </c>
      <c r="F19" s="31" t="n">
        <v>9000</v>
      </c>
      <c r="G19" s="31" t="n">
        <v>5000</v>
      </c>
      <c r="H19" s="31" t="n">
        <v>2500</v>
      </c>
      <c r="I19" s="31" t="n">
        <v>0</v>
      </c>
      <c r="J19" s="31" t="n">
        <v>38250.3267973856</v>
      </c>
      <c r="K19" s="31" t="n">
        <v>80000</v>
      </c>
      <c r="L19" s="31" t="n">
        <v>-66250.3267973856</v>
      </c>
      <c r="M19" s="31" t="n">
        <v>267994.77124183</v>
      </c>
      <c r="N19" s="31" t="n">
        <v>97994.7712418302</v>
      </c>
    </row>
    <row r="20" customFormat="false" ht="15" hidden="false" customHeight="false" outlineLevel="0" collapsed="false">
      <c r="A20" s="30" t="n">
        <v>17</v>
      </c>
      <c r="B20" s="31" t="n">
        <v>200</v>
      </c>
      <c r="C20" s="31" t="n">
        <v>52000</v>
      </c>
      <c r="D20" s="31" t="n">
        <v>9150.32679738562</v>
      </c>
      <c r="E20" s="31" t="n">
        <v>12600</v>
      </c>
      <c r="F20" s="31" t="n">
        <v>0</v>
      </c>
      <c r="G20" s="31" t="n">
        <v>5000</v>
      </c>
      <c r="H20" s="31" t="n">
        <v>2500</v>
      </c>
      <c r="I20" s="31" t="n">
        <v>0</v>
      </c>
      <c r="J20" s="31" t="n">
        <v>29250.3267973856</v>
      </c>
      <c r="K20" s="31" t="n">
        <v>0</v>
      </c>
      <c r="L20" s="31" t="n">
        <v>22749.6732026144</v>
      </c>
      <c r="M20" s="31" t="n">
        <v>290744.444444445</v>
      </c>
      <c r="N20" s="31" t="n">
        <v>120744.444444445</v>
      </c>
    </row>
    <row r="21" customFormat="false" ht="15" hidden="false" customHeight="false" outlineLevel="0" collapsed="false">
      <c r="A21" s="30" t="n">
        <v>18</v>
      </c>
      <c r="B21" s="31" t="n">
        <v>200</v>
      </c>
      <c r="C21" s="31" t="n">
        <v>52000</v>
      </c>
      <c r="D21" s="31" t="n">
        <v>9150.32679738562</v>
      </c>
      <c r="E21" s="31" t="n">
        <v>12600</v>
      </c>
      <c r="F21" s="31" t="n">
        <v>0</v>
      </c>
      <c r="G21" s="31" t="n">
        <v>5000</v>
      </c>
      <c r="H21" s="31" t="n">
        <v>2500</v>
      </c>
      <c r="I21" s="31" t="n">
        <v>0</v>
      </c>
      <c r="J21" s="31" t="n">
        <v>29250.3267973856</v>
      </c>
      <c r="K21" s="31" t="n">
        <v>0</v>
      </c>
      <c r="L21" s="31" t="n">
        <v>22749.6732026144</v>
      </c>
      <c r="M21" s="31" t="n">
        <v>313494.117647059</v>
      </c>
      <c r="N21" s="31" t="n">
        <v>143494.117647059</v>
      </c>
    </row>
    <row r="22" customFormat="false" ht="15" hidden="false" customHeight="false" outlineLevel="0" collapsed="false">
      <c r="A22" s="30" t="n">
        <v>19</v>
      </c>
      <c r="B22" s="31" t="n">
        <v>200</v>
      </c>
      <c r="C22" s="31" t="n">
        <v>52000</v>
      </c>
      <c r="D22" s="31" t="n">
        <v>9150.32679738562</v>
      </c>
      <c r="E22" s="31" t="n">
        <v>12600</v>
      </c>
      <c r="F22" s="31" t="n">
        <v>0</v>
      </c>
      <c r="G22" s="31" t="n">
        <v>5000</v>
      </c>
      <c r="H22" s="31" t="n">
        <v>2500</v>
      </c>
      <c r="I22" s="31" t="n">
        <v>0</v>
      </c>
      <c r="J22" s="31" t="n">
        <v>29250.3267973856</v>
      </c>
      <c r="K22" s="31" t="n">
        <v>0</v>
      </c>
      <c r="L22" s="31" t="n">
        <v>22749.6732026144</v>
      </c>
      <c r="M22" s="31" t="n">
        <v>336243.790849673</v>
      </c>
      <c r="N22" s="31" t="n">
        <v>166243.790849673</v>
      </c>
    </row>
    <row r="23" customFormat="false" ht="15" hidden="false" customHeight="false" outlineLevel="0" collapsed="false">
      <c r="A23" s="30" t="n">
        <v>20</v>
      </c>
      <c r="B23" s="31" t="n">
        <v>200</v>
      </c>
      <c r="C23" s="31" t="n">
        <v>52000</v>
      </c>
      <c r="D23" s="31" t="n">
        <v>9150.32679738562</v>
      </c>
      <c r="E23" s="31" t="n">
        <v>12600</v>
      </c>
      <c r="F23" s="31" t="n">
        <v>0</v>
      </c>
      <c r="G23" s="31" t="n">
        <v>5000</v>
      </c>
      <c r="H23" s="31" t="n">
        <v>2500</v>
      </c>
      <c r="I23" s="31" t="n">
        <v>0</v>
      </c>
      <c r="J23" s="31" t="n">
        <v>29250.3267973856</v>
      </c>
      <c r="K23" s="31" t="n">
        <v>80000</v>
      </c>
      <c r="L23" s="31" t="n">
        <v>-57250.3267973856</v>
      </c>
      <c r="M23" s="31" t="n">
        <v>358993.464052288</v>
      </c>
      <c r="N23" s="31" t="n">
        <v>108993.464052288</v>
      </c>
    </row>
    <row r="24" customFormat="false" ht="15" hidden="false" customHeight="false" outlineLevel="0" collapsed="false">
      <c r="A24" s="30" t="n">
        <v>21</v>
      </c>
      <c r="B24" s="31" t="n">
        <v>200</v>
      </c>
      <c r="C24" s="31" t="n">
        <v>52000</v>
      </c>
      <c r="D24" s="31" t="n">
        <v>9150.32679738562</v>
      </c>
      <c r="E24" s="31" t="n">
        <v>12600</v>
      </c>
      <c r="F24" s="31" t="n">
        <v>9000</v>
      </c>
      <c r="G24" s="31" t="n">
        <v>5000</v>
      </c>
      <c r="H24" s="31" t="n">
        <v>2500</v>
      </c>
      <c r="I24" s="31" t="n">
        <v>0</v>
      </c>
      <c r="J24" s="31" t="n">
        <v>38250.3267973856</v>
      </c>
      <c r="K24" s="31" t="n">
        <v>0</v>
      </c>
      <c r="L24" s="31" t="n">
        <v>13749.6732026144</v>
      </c>
      <c r="M24" s="31" t="n">
        <v>372743.137254902</v>
      </c>
      <c r="N24" s="31" t="n">
        <v>122743.137254902</v>
      </c>
    </row>
    <row r="25" customFormat="false" ht="15" hidden="false" customHeight="false" outlineLevel="0" collapsed="false">
      <c r="A25" s="30" t="n">
        <v>22</v>
      </c>
      <c r="B25" s="31" t="n">
        <v>200</v>
      </c>
      <c r="C25" s="31" t="n">
        <v>52000</v>
      </c>
      <c r="D25" s="31" t="n">
        <v>9150.32679738562</v>
      </c>
      <c r="E25" s="31" t="n">
        <v>12600</v>
      </c>
      <c r="F25" s="31" t="n">
        <v>0</v>
      </c>
      <c r="G25" s="31" t="n">
        <v>5000</v>
      </c>
      <c r="H25" s="31" t="n">
        <v>2500</v>
      </c>
      <c r="I25" s="31" t="n">
        <v>0</v>
      </c>
      <c r="J25" s="31" t="n">
        <v>29250.3267973856</v>
      </c>
      <c r="K25" s="31" t="n">
        <v>0</v>
      </c>
      <c r="L25" s="31" t="n">
        <v>22749.6732026144</v>
      </c>
      <c r="M25" s="31" t="n">
        <v>395492.810457516</v>
      </c>
      <c r="N25" s="31" t="n">
        <v>145492.810457517</v>
      </c>
    </row>
    <row r="26" customFormat="false" ht="15" hidden="false" customHeight="false" outlineLevel="0" collapsed="false">
      <c r="A26" s="30" t="n">
        <v>23</v>
      </c>
      <c r="B26" s="31" t="n">
        <v>200</v>
      </c>
      <c r="C26" s="31" t="n">
        <v>52000</v>
      </c>
      <c r="D26" s="31" t="n">
        <v>9150.32679738562</v>
      </c>
      <c r="E26" s="31" t="n">
        <v>12600</v>
      </c>
      <c r="F26" s="31" t="n">
        <v>0</v>
      </c>
      <c r="G26" s="31" t="n">
        <v>5000</v>
      </c>
      <c r="H26" s="31" t="n">
        <v>2500</v>
      </c>
      <c r="I26" s="31" t="n">
        <v>0</v>
      </c>
      <c r="J26" s="31" t="n">
        <v>29250.3267973856</v>
      </c>
      <c r="K26" s="31" t="n">
        <v>0</v>
      </c>
      <c r="L26" s="31" t="n">
        <v>22749.6732026144</v>
      </c>
      <c r="M26" s="31" t="n">
        <v>418242.483660131</v>
      </c>
      <c r="N26" s="31" t="n">
        <v>168242.483660131</v>
      </c>
    </row>
    <row r="27" customFormat="false" ht="15" hidden="false" customHeight="false" outlineLevel="0" collapsed="false">
      <c r="A27" s="30" t="n">
        <v>24</v>
      </c>
      <c r="B27" s="31" t="n">
        <v>200</v>
      </c>
      <c r="C27" s="31" t="n">
        <v>52000</v>
      </c>
      <c r="D27" s="31" t="n">
        <v>9150.32679738562</v>
      </c>
      <c r="E27" s="31" t="n">
        <v>12600</v>
      </c>
      <c r="F27" s="31" t="n">
        <v>0</v>
      </c>
      <c r="G27" s="31" t="n">
        <v>5000</v>
      </c>
      <c r="H27" s="31" t="n">
        <v>2500</v>
      </c>
      <c r="I27" s="31" t="n">
        <v>0</v>
      </c>
      <c r="J27" s="31" t="n">
        <v>29250.3267973856</v>
      </c>
      <c r="K27" s="31" t="n">
        <v>80000</v>
      </c>
      <c r="L27" s="31" t="n">
        <v>-57250.3267973856</v>
      </c>
      <c r="M27" s="31" t="n">
        <v>440992.156862745</v>
      </c>
      <c r="N27" s="31" t="n">
        <v>110992.156862745</v>
      </c>
    </row>
    <row r="28" customFormat="false" ht="15" hidden="false" customHeight="false" outlineLevel="0" collapsed="false">
      <c r="A28" s="30" t="n">
        <v>25</v>
      </c>
      <c r="B28" s="31" t="n">
        <v>200</v>
      </c>
      <c r="C28" s="31" t="n">
        <v>52000</v>
      </c>
      <c r="D28" s="31" t="n">
        <v>9150.32679738562</v>
      </c>
      <c r="E28" s="31" t="n">
        <v>12600</v>
      </c>
      <c r="F28" s="31" t="n">
        <v>0</v>
      </c>
      <c r="G28" s="31" t="n">
        <v>5000</v>
      </c>
      <c r="H28" s="31" t="n">
        <v>2500</v>
      </c>
      <c r="I28" s="31" t="n">
        <v>0</v>
      </c>
      <c r="J28" s="31" t="n">
        <v>29250.3267973856</v>
      </c>
      <c r="K28" s="31" t="n">
        <v>0</v>
      </c>
      <c r="L28" s="31" t="n">
        <v>22749.6732026144</v>
      </c>
      <c r="M28" s="31" t="n">
        <v>463741.830065359</v>
      </c>
      <c r="N28" s="31" t="n">
        <v>133741.83006536</v>
      </c>
    </row>
    <row r="29" customFormat="false" ht="15" hidden="false" customHeight="false" outlineLevel="0" collapsed="false">
      <c r="A29" s="30" t="n">
        <v>26</v>
      </c>
      <c r="B29" s="31" t="n">
        <v>200</v>
      </c>
      <c r="C29" s="31" t="n">
        <v>52000</v>
      </c>
      <c r="D29" s="31" t="n">
        <v>9150.32679738562</v>
      </c>
      <c r="E29" s="31" t="n">
        <v>12600</v>
      </c>
      <c r="F29" s="31" t="n">
        <v>9000</v>
      </c>
      <c r="G29" s="31" t="n">
        <v>5000</v>
      </c>
      <c r="H29" s="31" t="n">
        <v>2500</v>
      </c>
      <c r="I29" s="31" t="n">
        <v>0</v>
      </c>
      <c r="J29" s="31" t="n">
        <v>38250.3267973856</v>
      </c>
      <c r="K29" s="31" t="n">
        <v>0</v>
      </c>
      <c r="L29" s="31" t="n">
        <v>13749.6732026144</v>
      </c>
      <c r="M29" s="31" t="n">
        <v>477491.503267974</v>
      </c>
      <c r="N29" s="31" t="n">
        <v>147491.503267974</v>
      </c>
    </row>
    <row r="30" customFormat="false" ht="15" hidden="false" customHeight="false" outlineLevel="0" collapsed="false">
      <c r="A30" s="30" t="n">
        <v>27</v>
      </c>
      <c r="B30" s="31" t="n">
        <v>200</v>
      </c>
      <c r="C30" s="31" t="n">
        <v>52000</v>
      </c>
      <c r="D30" s="31" t="n">
        <v>9150.32679738562</v>
      </c>
      <c r="E30" s="31" t="n">
        <v>12600</v>
      </c>
      <c r="F30" s="31" t="n">
        <v>0</v>
      </c>
      <c r="G30" s="31" t="n">
        <v>5000</v>
      </c>
      <c r="H30" s="31" t="n">
        <v>2500</v>
      </c>
      <c r="I30" s="31" t="n">
        <v>0</v>
      </c>
      <c r="J30" s="31" t="n">
        <v>29250.3267973856</v>
      </c>
      <c r="K30" s="31" t="n">
        <v>0</v>
      </c>
      <c r="L30" s="31" t="n">
        <v>22749.6732026144</v>
      </c>
      <c r="M30" s="31" t="n">
        <v>500241.176470588</v>
      </c>
      <c r="N30" s="31" t="n">
        <v>170241.176470589</v>
      </c>
    </row>
    <row r="31" customFormat="false" ht="15" hidden="false" customHeight="false" outlineLevel="0" collapsed="false">
      <c r="A31" s="30" t="n">
        <v>28</v>
      </c>
      <c r="B31" s="31" t="n">
        <v>200</v>
      </c>
      <c r="C31" s="31" t="n">
        <v>52000</v>
      </c>
      <c r="D31" s="31" t="n">
        <v>9150.32679738562</v>
      </c>
      <c r="E31" s="31" t="n">
        <v>12600</v>
      </c>
      <c r="F31" s="31" t="n">
        <v>0</v>
      </c>
      <c r="G31" s="31" t="n">
        <v>5000</v>
      </c>
      <c r="H31" s="31" t="n">
        <v>2500</v>
      </c>
      <c r="I31" s="31" t="n">
        <v>0</v>
      </c>
      <c r="J31" s="31" t="n">
        <v>29250.3267973856</v>
      </c>
      <c r="K31" s="31" t="n">
        <v>80000</v>
      </c>
      <c r="L31" s="31" t="n">
        <v>-57250.3267973856</v>
      </c>
      <c r="M31" s="31" t="n">
        <v>522990.849673202</v>
      </c>
      <c r="N31" s="31" t="n">
        <v>112990.849673203</v>
      </c>
    </row>
    <row r="32" customFormat="false" ht="15" hidden="false" customHeight="false" outlineLevel="0" collapsed="false">
      <c r="A32" s="30" t="n">
        <v>29</v>
      </c>
      <c r="B32" s="31" t="n">
        <v>200</v>
      </c>
      <c r="C32" s="31" t="n">
        <v>52000</v>
      </c>
      <c r="D32" s="31" t="n">
        <v>9150.32679738562</v>
      </c>
      <c r="E32" s="31" t="n">
        <v>12600</v>
      </c>
      <c r="F32" s="31" t="n">
        <v>0</v>
      </c>
      <c r="G32" s="31" t="n">
        <v>5000</v>
      </c>
      <c r="H32" s="31" t="n">
        <v>2500</v>
      </c>
      <c r="I32" s="31" t="n">
        <v>0</v>
      </c>
      <c r="J32" s="31" t="n">
        <v>29250.3267973856</v>
      </c>
      <c r="K32" s="31" t="n">
        <v>0</v>
      </c>
      <c r="L32" s="31" t="n">
        <v>22749.6732026144</v>
      </c>
      <c r="M32" s="31" t="n">
        <v>545740.522875817</v>
      </c>
      <c r="N32" s="31" t="n">
        <v>135740.522875817</v>
      </c>
    </row>
    <row r="33" customFormat="false" ht="15" hidden="false" customHeight="false" outlineLevel="0" collapsed="false">
      <c r="A33" s="30" t="n">
        <v>30</v>
      </c>
      <c r="B33" s="31" t="n">
        <v>200</v>
      </c>
      <c r="C33" s="31" t="n">
        <v>52000</v>
      </c>
      <c r="D33" s="31" t="n">
        <v>9150.32679738562</v>
      </c>
      <c r="E33" s="31" t="n">
        <v>12600</v>
      </c>
      <c r="F33" s="31" t="n">
        <v>0</v>
      </c>
      <c r="G33" s="31" t="n">
        <v>5000</v>
      </c>
      <c r="H33" s="31" t="n">
        <v>2500</v>
      </c>
      <c r="I33" s="31" t="n">
        <v>0</v>
      </c>
      <c r="J33" s="31" t="n">
        <v>29250.3267973856</v>
      </c>
      <c r="K33" s="31" t="n">
        <v>0</v>
      </c>
      <c r="L33" s="31" t="n">
        <v>22749.6732026144</v>
      </c>
      <c r="M33" s="31" t="n">
        <v>568490.196078431</v>
      </c>
      <c r="N33" s="31" t="n">
        <v>158490.196078432</v>
      </c>
    </row>
    <row r="34" customFormat="false" ht="15" hidden="false" customHeight="false" outlineLevel="0" collapsed="false">
      <c r="A34" s="30" t="n">
        <v>31</v>
      </c>
      <c r="B34" s="31" t="n">
        <v>200</v>
      </c>
      <c r="C34" s="31" t="n">
        <v>52000</v>
      </c>
      <c r="D34" s="31" t="n">
        <v>9150.32679738562</v>
      </c>
      <c r="E34" s="31" t="n">
        <v>12600</v>
      </c>
      <c r="F34" s="31" t="n">
        <v>9000</v>
      </c>
      <c r="G34" s="31" t="n">
        <v>5000</v>
      </c>
      <c r="H34" s="31" t="n">
        <v>2500</v>
      </c>
      <c r="I34" s="31" t="n">
        <v>0</v>
      </c>
      <c r="J34" s="31" t="n">
        <v>38250.3267973856</v>
      </c>
      <c r="K34" s="31" t="n">
        <v>0</v>
      </c>
      <c r="L34" s="31" t="n">
        <v>13749.6732026144</v>
      </c>
      <c r="M34" s="31" t="n">
        <v>582239.869281046</v>
      </c>
      <c r="N34" s="31" t="n">
        <v>172239.869281046</v>
      </c>
    </row>
    <row r="35" customFormat="false" ht="15" hidden="false" customHeight="false" outlineLevel="0" collapsed="false">
      <c r="A35" s="30" t="n">
        <v>32</v>
      </c>
      <c r="B35" s="31" t="n">
        <v>200</v>
      </c>
      <c r="C35" s="31" t="n">
        <v>52000</v>
      </c>
      <c r="D35" s="31" t="n">
        <v>9150.32679738562</v>
      </c>
      <c r="E35" s="31" t="n">
        <v>12600</v>
      </c>
      <c r="F35" s="31" t="n">
        <v>0</v>
      </c>
      <c r="G35" s="31" t="n">
        <v>5000</v>
      </c>
      <c r="H35" s="31" t="n">
        <v>2500</v>
      </c>
      <c r="I35" s="31" t="n">
        <v>0</v>
      </c>
      <c r="J35" s="31" t="n">
        <v>29250.3267973856</v>
      </c>
      <c r="K35" s="31" t="n">
        <v>80000</v>
      </c>
      <c r="L35" s="31" t="n">
        <v>-57250.3267973856</v>
      </c>
      <c r="M35" s="31" t="n">
        <v>604989.54248366</v>
      </c>
      <c r="N35" s="31" t="n">
        <v>114989.54248366</v>
      </c>
    </row>
    <row r="36" customFormat="false" ht="15" hidden="false" customHeight="false" outlineLevel="0" collapsed="false">
      <c r="A36" s="30" t="n">
        <v>33</v>
      </c>
      <c r="B36" s="31" t="n">
        <v>200</v>
      </c>
      <c r="C36" s="31" t="n">
        <v>52000</v>
      </c>
      <c r="D36" s="31" t="n">
        <v>9150.32679738562</v>
      </c>
      <c r="E36" s="31" t="n">
        <v>12600</v>
      </c>
      <c r="F36" s="31" t="n">
        <v>0</v>
      </c>
      <c r="G36" s="31" t="n">
        <v>5000</v>
      </c>
      <c r="H36" s="31" t="n">
        <v>2500</v>
      </c>
      <c r="I36" s="31" t="n">
        <v>0</v>
      </c>
      <c r="J36" s="31" t="n">
        <v>29250.3267973856</v>
      </c>
      <c r="K36" s="31" t="n">
        <v>0</v>
      </c>
      <c r="L36" s="31" t="n">
        <v>22749.6732026144</v>
      </c>
      <c r="M36" s="31" t="n">
        <v>627739.215686275</v>
      </c>
      <c r="N36" s="31" t="n">
        <v>137739.215686275</v>
      </c>
    </row>
    <row r="37" customFormat="false" ht="15" hidden="false" customHeight="false" outlineLevel="0" collapsed="false">
      <c r="A37" s="30" t="n">
        <v>34</v>
      </c>
      <c r="B37" s="31" t="n">
        <v>200</v>
      </c>
      <c r="C37" s="31" t="n">
        <v>52000</v>
      </c>
      <c r="D37" s="31" t="n">
        <v>9150.32679738562</v>
      </c>
      <c r="E37" s="31" t="n">
        <v>12600</v>
      </c>
      <c r="F37" s="31" t="n">
        <v>0</v>
      </c>
      <c r="G37" s="31" t="n">
        <v>5000</v>
      </c>
      <c r="H37" s="31" t="n">
        <v>2500</v>
      </c>
      <c r="I37" s="31" t="n">
        <v>0</v>
      </c>
      <c r="J37" s="31" t="n">
        <v>29250.3267973856</v>
      </c>
      <c r="K37" s="31" t="n">
        <v>0</v>
      </c>
      <c r="L37" s="31" t="n">
        <v>22749.6732026144</v>
      </c>
      <c r="M37" s="31" t="n">
        <v>650488.888888889</v>
      </c>
      <c r="N37" s="31" t="n">
        <v>160488.888888889</v>
      </c>
    </row>
    <row r="38" customFormat="false" ht="15" hidden="false" customHeight="false" outlineLevel="0" collapsed="false">
      <c r="A38" s="30" t="n">
        <v>35</v>
      </c>
      <c r="B38" s="31" t="n">
        <v>200</v>
      </c>
      <c r="C38" s="31" t="n">
        <v>52000</v>
      </c>
      <c r="D38" s="31" t="n">
        <v>9150.32679738562</v>
      </c>
      <c r="E38" s="31" t="n">
        <v>12600</v>
      </c>
      <c r="F38" s="31" t="n">
        <v>0</v>
      </c>
      <c r="G38" s="31" t="n">
        <v>5000</v>
      </c>
      <c r="H38" s="31" t="n">
        <v>2500</v>
      </c>
      <c r="I38" s="31" t="n">
        <v>0</v>
      </c>
      <c r="J38" s="31" t="n">
        <v>29250.3267973856</v>
      </c>
      <c r="K38" s="31" t="n">
        <v>0</v>
      </c>
      <c r="L38" s="31" t="n">
        <v>22749.6732026144</v>
      </c>
      <c r="M38" s="31" t="n">
        <v>673238.562091503</v>
      </c>
      <c r="N38" s="31" t="n">
        <v>183238.562091504</v>
      </c>
    </row>
    <row r="39" customFormat="false" ht="15" hidden="false" customHeight="false" outlineLevel="0" collapsed="false">
      <c r="A39" s="30" t="n">
        <v>36</v>
      </c>
      <c r="B39" s="31" t="n">
        <v>200</v>
      </c>
      <c r="C39" s="31" t="n">
        <v>52000</v>
      </c>
      <c r="D39" s="31" t="n">
        <v>9150.32679738562</v>
      </c>
      <c r="E39" s="31" t="n">
        <v>12600</v>
      </c>
      <c r="F39" s="31" t="n">
        <v>9000</v>
      </c>
      <c r="G39" s="31" t="n">
        <v>5000</v>
      </c>
      <c r="H39" s="31" t="n">
        <v>2500</v>
      </c>
      <c r="I39" s="31" t="n">
        <v>0</v>
      </c>
      <c r="J39" s="31" t="n">
        <v>38250.3267973856</v>
      </c>
      <c r="K39" s="31" t="n">
        <v>80000</v>
      </c>
      <c r="L39" s="31" t="n">
        <v>-66250.3267973856</v>
      </c>
      <c r="M39" s="31" t="n">
        <v>686988.235294118</v>
      </c>
      <c r="N39" s="31" t="n">
        <v>116988.235294118</v>
      </c>
    </row>
    <row r="40" customFormat="false" ht="15" hidden="false" customHeight="false" outlineLevel="0" collapsed="false">
      <c r="A40" s="30" t="n">
        <v>37</v>
      </c>
      <c r="B40" s="31" t="n">
        <v>200</v>
      </c>
      <c r="C40" s="31" t="n">
        <v>52000</v>
      </c>
      <c r="D40" s="31" t="n">
        <v>9150.32679738562</v>
      </c>
      <c r="E40" s="31" t="n">
        <v>12600</v>
      </c>
      <c r="F40" s="31" t="n">
        <v>0</v>
      </c>
      <c r="G40" s="31" t="n">
        <v>5000</v>
      </c>
      <c r="H40" s="31" t="n">
        <v>2500</v>
      </c>
      <c r="I40" s="31" t="n">
        <v>0</v>
      </c>
      <c r="J40" s="31" t="n">
        <v>29250.3267973856</v>
      </c>
      <c r="K40" s="31" t="n">
        <v>0</v>
      </c>
      <c r="L40" s="31" t="n">
        <v>22749.6732026144</v>
      </c>
      <c r="M40" s="31" t="n">
        <v>709737.908496732</v>
      </c>
      <c r="N40" s="31" t="n">
        <v>139737.908496732</v>
      </c>
    </row>
    <row r="41" customFormat="false" ht="15" hidden="false" customHeight="false" outlineLevel="0" collapsed="false">
      <c r="A41" s="30" t="n">
        <v>38</v>
      </c>
      <c r="B41" s="31" t="n">
        <v>200</v>
      </c>
      <c r="C41" s="31" t="n">
        <v>52000</v>
      </c>
      <c r="D41" s="31" t="n">
        <v>9150.32679738562</v>
      </c>
      <c r="E41" s="31" t="n">
        <v>12600</v>
      </c>
      <c r="F41" s="31" t="n">
        <v>0</v>
      </c>
      <c r="G41" s="31" t="n">
        <v>5000</v>
      </c>
      <c r="H41" s="31" t="n">
        <v>2500</v>
      </c>
      <c r="I41" s="31" t="n">
        <v>0</v>
      </c>
      <c r="J41" s="31" t="n">
        <v>29250.3267973856</v>
      </c>
      <c r="K41" s="31" t="n">
        <v>0</v>
      </c>
      <c r="L41" s="31" t="n">
        <v>22749.6732026144</v>
      </c>
      <c r="M41" s="31" t="n">
        <v>732487.581699347</v>
      </c>
      <c r="N41" s="31" t="n">
        <v>162487.581699347</v>
      </c>
    </row>
    <row r="42" customFormat="false" ht="15" hidden="false" customHeight="false" outlineLevel="0" collapsed="false">
      <c r="A42" s="30" t="n">
        <v>39</v>
      </c>
      <c r="B42" s="31" t="n">
        <v>200</v>
      </c>
      <c r="C42" s="31" t="n">
        <v>52000</v>
      </c>
      <c r="D42" s="31" t="n">
        <v>9150.32679738562</v>
      </c>
      <c r="E42" s="31" t="n">
        <v>12600</v>
      </c>
      <c r="F42" s="31" t="n">
        <v>0</v>
      </c>
      <c r="G42" s="31" t="n">
        <v>5000</v>
      </c>
      <c r="H42" s="31" t="n">
        <v>2500</v>
      </c>
      <c r="I42" s="31" t="n">
        <v>0</v>
      </c>
      <c r="J42" s="31" t="n">
        <v>29250.3267973856</v>
      </c>
      <c r="K42" s="31" t="n">
        <v>0</v>
      </c>
      <c r="L42" s="31" t="n">
        <v>22749.6732026144</v>
      </c>
      <c r="M42" s="31" t="n">
        <v>755237.254901961</v>
      </c>
      <c r="N42" s="31" t="n">
        <v>185237.254901961</v>
      </c>
    </row>
    <row r="43" customFormat="false" ht="15" hidden="false" customHeight="false" outlineLevel="0" collapsed="false">
      <c r="A43" s="30" t="n">
        <v>40</v>
      </c>
      <c r="B43" s="31" t="n">
        <v>200</v>
      </c>
      <c r="C43" s="31" t="n">
        <v>52000</v>
      </c>
      <c r="D43" s="31" t="n">
        <v>9150.32679738562</v>
      </c>
      <c r="E43" s="31" t="n">
        <v>12600</v>
      </c>
      <c r="F43" s="31" t="n">
        <v>0</v>
      </c>
      <c r="G43" s="31" t="n">
        <v>5000</v>
      </c>
      <c r="H43" s="31" t="n">
        <v>2500</v>
      </c>
      <c r="I43" s="31" t="n">
        <v>0</v>
      </c>
      <c r="J43" s="31" t="n">
        <v>29250.3267973856</v>
      </c>
      <c r="K43" s="31" t="n">
        <v>80000</v>
      </c>
      <c r="L43" s="31" t="n">
        <v>-57250.3267973856</v>
      </c>
      <c r="M43" s="31" t="n">
        <v>777986.928104575</v>
      </c>
      <c r="N43" s="31" t="n">
        <v>127986.928104576</v>
      </c>
    </row>
    <row r="44" customFormat="false" ht="15" hidden="false" customHeight="false" outlineLevel="0" collapsed="false">
      <c r="A44" s="30" t="n">
        <v>41</v>
      </c>
      <c r="B44" s="31" t="n">
        <v>200</v>
      </c>
      <c r="C44" s="31" t="n">
        <v>52000</v>
      </c>
      <c r="D44" s="31" t="n">
        <v>9150.32679738562</v>
      </c>
      <c r="E44" s="31" t="n">
        <v>12600</v>
      </c>
      <c r="F44" s="31" t="n">
        <v>9000</v>
      </c>
      <c r="G44" s="31" t="n">
        <v>5000</v>
      </c>
      <c r="H44" s="31" t="n">
        <v>2500</v>
      </c>
      <c r="I44" s="31" t="n">
        <v>0</v>
      </c>
      <c r="J44" s="31" t="n">
        <v>38250.3267973856</v>
      </c>
      <c r="K44" s="31" t="n">
        <v>0</v>
      </c>
      <c r="L44" s="31" t="n">
        <v>13749.6732026144</v>
      </c>
      <c r="M44" s="31" t="n">
        <v>791736.60130719</v>
      </c>
      <c r="N44" s="31" t="n">
        <v>141736.60130719</v>
      </c>
    </row>
    <row r="45" customFormat="false" ht="15" hidden="false" customHeight="false" outlineLevel="0" collapsed="false">
      <c r="A45" s="30" t="n">
        <v>42</v>
      </c>
      <c r="B45" s="31" t="n">
        <v>200</v>
      </c>
      <c r="C45" s="31" t="n">
        <v>52000</v>
      </c>
      <c r="D45" s="31" t="n">
        <v>9150.32679738562</v>
      </c>
      <c r="E45" s="31" t="n">
        <v>12600</v>
      </c>
      <c r="F45" s="31" t="n">
        <v>0</v>
      </c>
      <c r="G45" s="31" t="n">
        <v>5000</v>
      </c>
      <c r="H45" s="31" t="n">
        <v>2500</v>
      </c>
      <c r="I45" s="31" t="n">
        <v>0</v>
      </c>
      <c r="J45" s="31" t="n">
        <v>29250.3267973856</v>
      </c>
      <c r="K45" s="31" t="n">
        <v>0</v>
      </c>
      <c r="L45" s="31" t="n">
        <v>22749.6732026144</v>
      </c>
      <c r="M45" s="31" t="n">
        <v>814486.274509804</v>
      </c>
      <c r="N45" s="31" t="n">
        <v>164486.274509804</v>
      </c>
    </row>
    <row r="46" customFormat="false" ht="15" hidden="false" customHeight="false" outlineLevel="0" collapsed="false">
      <c r="A46" s="30" t="n">
        <v>43</v>
      </c>
      <c r="B46" s="31" t="n">
        <v>200</v>
      </c>
      <c r="C46" s="31" t="n">
        <v>52000</v>
      </c>
      <c r="D46" s="31" t="n">
        <v>9150.32679738562</v>
      </c>
      <c r="E46" s="31" t="n">
        <v>12600</v>
      </c>
      <c r="F46" s="31" t="n">
        <v>0</v>
      </c>
      <c r="G46" s="31" t="n">
        <v>5000</v>
      </c>
      <c r="H46" s="31" t="n">
        <v>2500</v>
      </c>
      <c r="I46" s="31" t="n">
        <v>0</v>
      </c>
      <c r="J46" s="31" t="n">
        <v>29250.3267973856</v>
      </c>
      <c r="K46" s="31" t="n">
        <v>0</v>
      </c>
      <c r="L46" s="31" t="n">
        <v>22749.6732026144</v>
      </c>
      <c r="M46" s="31" t="n">
        <v>837235.947712419</v>
      </c>
      <c r="N46" s="31" t="n">
        <v>187235.947712419</v>
      </c>
    </row>
    <row r="47" customFormat="false" ht="15" hidden="false" customHeight="false" outlineLevel="0" collapsed="false">
      <c r="A47" s="30" t="n">
        <v>44</v>
      </c>
      <c r="B47" s="31" t="n">
        <v>200</v>
      </c>
      <c r="C47" s="31" t="n">
        <v>52000</v>
      </c>
      <c r="D47" s="31" t="n">
        <v>9150.32679738562</v>
      </c>
      <c r="E47" s="31" t="n">
        <v>12600</v>
      </c>
      <c r="F47" s="31" t="n">
        <v>0</v>
      </c>
      <c r="G47" s="31" t="n">
        <v>5000</v>
      </c>
      <c r="H47" s="31" t="n">
        <v>2500</v>
      </c>
      <c r="I47" s="31" t="n">
        <v>0</v>
      </c>
      <c r="J47" s="31" t="n">
        <v>29250.3267973856</v>
      </c>
      <c r="K47" s="31" t="n">
        <v>80000</v>
      </c>
      <c r="L47" s="31" t="n">
        <v>-57250.3267973856</v>
      </c>
      <c r="M47" s="31" t="n">
        <v>859985.620915033</v>
      </c>
      <c r="N47" s="31" t="n">
        <v>129985.620915033</v>
      </c>
    </row>
    <row r="48" customFormat="false" ht="15" hidden="false" customHeight="false" outlineLevel="0" collapsed="false">
      <c r="A48" s="30" t="n">
        <v>45</v>
      </c>
      <c r="B48" s="31" t="n">
        <v>200</v>
      </c>
      <c r="C48" s="31" t="n">
        <v>52000</v>
      </c>
      <c r="D48" s="31" t="n">
        <v>9150.32679738562</v>
      </c>
      <c r="E48" s="31" t="n">
        <v>12600</v>
      </c>
      <c r="F48" s="31" t="n">
        <v>0</v>
      </c>
      <c r="G48" s="31" t="n">
        <v>5000</v>
      </c>
      <c r="H48" s="31" t="n">
        <v>2500</v>
      </c>
      <c r="I48" s="31" t="n">
        <v>0</v>
      </c>
      <c r="J48" s="31" t="n">
        <v>29250.3267973856</v>
      </c>
      <c r="K48" s="31" t="n">
        <v>0</v>
      </c>
      <c r="L48" s="31" t="n">
        <v>22749.6732026144</v>
      </c>
      <c r="M48" s="31" t="n">
        <v>882735.294117648</v>
      </c>
      <c r="N48" s="31" t="n">
        <v>152735.294117647</v>
      </c>
    </row>
    <row r="49" customFormat="false" ht="15" hidden="false" customHeight="false" outlineLevel="0" collapsed="false">
      <c r="A49" s="30" t="n">
        <v>46</v>
      </c>
      <c r="B49" s="31" t="n">
        <v>200</v>
      </c>
      <c r="C49" s="31" t="n">
        <v>52000</v>
      </c>
      <c r="D49" s="31" t="n">
        <v>9150.32679738562</v>
      </c>
      <c r="E49" s="31" t="n">
        <v>12600</v>
      </c>
      <c r="F49" s="31" t="n">
        <v>9000</v>
      </c>
      <c r="G49" s="31" t="n">
        <v>5000</v>
      </c>
      <c r="H49" s="31" t="n">
        <v>2500</v>
      </c>
      <c r="I49" s="31" t="n">
        <v>0</v>
      </c>
      <c r="J49" s="31" t="n">
        <v>38250.3267973856</v>
      </c>
      <c r="K49" s="31" t="n">
        <v>0</v>
      </c>
      <c r="L49" s="31" t="n">
        <v>13749.6732026144</v>
      </c>
      <c r="M49" s="31" t="n">
        <v>896484.967320262</v>
      </c>
      <c r="N49" s="31" t="n">
        <v>166484.967320262</v>
      </c>
    </row>
    <row r="50" customFormat="false" ht="15" hidden="false" customHeight="false" outlineLevel="0" collapsed="false">
      <c r="A50" s="30" t="n">
        <v>47</v>
      </c>
      <c r="B50" s="31" t="n">
        <v>200</v>
      </c>
      <c r="C50" s="31" t="n">
        <v>52000</v>
      </c>
      <c r="D50" s="31" t="n">
        <v>9150.32679738562</v>
      </c>
      <c r="E50" s="31" t="n">
        <v>12600</v>
      </c>
      <c r="F50" s="31" t="n">
        <v>0</v>
      </c>
      <c r="G50" s="31" t="n">
        <v>5000</v>
      </c>
      <c r="H50" s="31" t="n">
        <v>2500</v>
      </c>
      <c r="I50" s="31" t="n">
        <v>0</v>
      </c>
      <c r="J50" s="31" t="n">
        <v>29250.3267973856</v>
      </c>
      <c r="K50" s="31" t="n">
        <v>0</v>
      </c>
      <c r="L50" s="31" t="n">
        <v>22749.6732026144</v>
      </c>
      <c r="M50" s="31" t="n">
        <v>919234.640522876</v>
      </c>
      <c r="N50" s="31" t="n">
        <v>189234.640522876</v>
      </c>
    </row>
    <row r="51" customFormat="false" ht="15" hidden="false" customHeight="false" outlineLevel="0" collapsed="false">
      <c r="A51" s="30" t="n">
        <v>48</v>
      </c>
      <c r="B51" s="31" t="n">
        <v>200</v>
      </c>
      <c r="C51" s="31" t="n">
        <v>52000</v>
      </c>
      <c r="D51" s="31" t="n">
        <v>9150.32679738562</v>
      </c>
      <c r="E51" s="31" t="n">
        <v>12600</v>
      </c>
      <c r="F51" s="31" t="n">
        <v>0</v>
      </c>
      <c r="G51" s="31" t="n">
        <v>5000</v>
      </c>
      <c r="H51" s="31" t="n">
        <v>2500</v>
      </c>
      <c r="I51" s="31" t="n">
        <v>0</v>
      </c>
      <c r="J51" s="31" t="n">
        <v>29250.3267973856</v>
      </c>
      <c r="K51" s="31" t="n">
        <v>80000</v>
      </c>
      <c r="L51" s="31" t="n">
        <v>-57250.3267973856</v>
      </c>
      <c r="M51" s="31" t="n">
        <v>941984.313725491</v>
      </c>
      <c r="N51" s="31" t="n">
        <v>131984.313725491</v>
      </c>
    </row>
    <row r="52" customFormat="false" ht="15" hidden="false" customHeight="false" outlineLevel="0" collapsed="false">
      <c r="A52" s="30" t="n">
        <v>49</v>
      </c>
      <c r="B52" s="31" t="n">
        <v>200</v>
      </c>
      <c r="C52" s="31" t="n">
        <v>52000</v>
      </c>
      <c r="D52" s="31" t="n">
        <v>9150.32679738562</v>
      </c>
      <c r="E52" s="31" t="n">
        <v>12600</v>
      </c>
      <c r="F52" s="31" t="n">
        <v>0</v>
      </c>
      <c r="G52" s="31" t="n">
        <v>5000</v>
      </c>
      <c r="H52" s="31" t="n">
        <v>2500</v>
      </c>
      <c r="I52" s="31" t="n">
        <v>0</v>
      </c>
      <c r="J52" s="31" t="n">
        <v>29250.3267973856</v>
      </c>
      <c r="K52" s="31" t="n">
        <v>0</v>
      </c>
      <c r="L52" s="31" t="n">
        <v>22749.6732026144</v>
      </c>
      <c r="M52" s="31" t="n">
        <v>964733.986928105</v>
      </c>
      <c r="N52" s="31" t="n">
        <v>154733.986928105</v>
      </c>
    </row>
    <row r="53" customFormat="false" ht="15" hidden="false" customHeight="false" outlineLevel="0" collapsed="false">
      <c r="A53" s="30" t="n">
        <v>50</v>
      </c>
      <c r="B53" s="31" t="n">
        <v>200</v>
      </c>
      <c r="C53" s="31" t="n">
        <v>52000</v>
      </c>
      <c r="D53" s="31" t="n">
        <v>9150.32679738562</v>
      </c>
      <c r="E53" s="31" t="n">
        <v>12600</v>
      </c>
      <c r="F53" s="31" t="n">
        <v>0</v>
      </c>
      <c r="G53" s="31" t="n">
        <v>5000</v>
      </c>
      <c r="H53" s="31" t="n">
        <v>2500</v>
      </c>
      <c r="I53" s="31" t="n">
        <v>0</v>
      </c>
      <c r="J53" s="31" t="n">
        <v>29250.3267973856</v>
      </c>
      <c r="K53" s="31" t="n">
        <v>0</v>
      </c>
      <c r="L53" s="31" t="n">
        <v>22749.6732026144</v>
      </c>
      <c r="M53" s="31" t="n">
        <v>987483.66013072</v>
      </c>
      <c r="N53" s="31" t="n">
        <v>177483.660130719</v>
      </c>
    </row>
    <row r="54" customFormat="false" ht="15" hidden="false" customHeight="false" outlineLevel="0" collapsed="false">
      <c r="A54" s="30" t="n">
        <v>51</v>
      </c>
      <c r="B54" s="31" t="n">
        <v>200</v>
      </c>
      <c r="C54" s="31" t="n">
        <v>52000</v>
      </c>
      <c r="D54" s="31" t="n">
        <v>9150.32679738562</v>
      </c>
      <c r="E54" s="31" t="n">
        <v>12600</v>
      </c>
      <c r="F54" s="31" t="n">
        <v>9000</v>
      </c>
      <c r="G54" s="31" t="n">
        <v>5000</v>
      </c>
      <c r="H54" s="31" t="n">
        <v>2500</v>
      </c>
      <c r="I54" s="31" t="n">
        <v>0</v>
      </c>
      <c r="J54" s="31" t="n">
        <v>38250.3267973856</v>
      </c>
      <c r="K54" s="31" t="n">
        <v>0</v>
      </c>
      <c r="L54" s="31" t="n">
        <v>13749.6732026144</v>
      </c>
      <c r="M54" s="31" t="n">
        <v>1001233.33333333</v>
      </c>
      <c r="N54" s="31" t="n">
        <v>191233.333333334</v>
      </c>
    </row>
    <row r="55" customFormat="false" ht="15" hidden="false" customHeight="false" outlineLevel="0" collapsed="false">
      <c r="A55" s="30" t="n">
        <v>52</v>
      </c>
      <c r="B55" s="31" t="n">
        <v>200</v>
      </c>
      <c r="C55" s="31" t="n">
        <v>52000</v>
      </c>
      <c r="D55" s="31" t="n">
        <v>9150.32679738562</v>
      </c>
      <c r="E55" s="31" t="n">
        <v>12600</v>
      </c>
      <c r="F55" s="31" t="n">
        <v>0</v>
      </c>
      <c r="G55" s="31" t="n">
        <v>5000</v>
      </c>
      <c r="H55" s="31" t="n">
        <v>2500</v>
      </c>
      <c r="I55" s="31" t="n">
        <v>0</v>
      </c>
      <c r="J55" s="31" t="n">
        <v>29250.3267973856</v>
      </c>
      <c r="K55" s="31" t="n">
        <v>80000</v>
      </c>
      <c r="L55" s="31" t="n">
        <v>-57250.3267973856</v>
      </c>
      <c r="M55" s="31" t="n">
        <v>1023983.00653595</v>
      </c>
      <c r="N55" s="31" t="n">
        <v>133983.006535948</v>
      </c>
    </row>
    <row r="57" customFormat="false" ht="15" hidden="false" customHeight="false" outlineLevel="0" collapsed="false">
      <c r="A57" s="11" t="s">
        <v>196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0" width="24"/>
  </cols>
  <sheetData>
    <row r="1" customFormat="false" ht="17.35" hidden="false" customHeight="false" outlineLevel="0" collapsed="false">
      <c r="A1" s="1" t="s">
        <v>197</v>
      </c>
    </row>
    <row r="3" customFormat="false" ht="15" hidden="false" customHeight="false" outlineLevel="0" collapsed="false">
      <c r="A3" s="2" t="s">
        <v>198</v>
      </c>
      <c r="B3" s="2" t="s">
        <v>199</v>
      </c>
      <c r="C3" s="2" t="s">
        <v>200</v>
      </c>
      <c r="D3" s="2" t="s">
        <v>201</v>
      </c>
      <c r="E3" s="2" t="s">
        <v>202</v>
      </c>
      <c r="F3" s="2" t="s">
        <v>203</v>
      </c>
      <c r="G3" s="2" t="s">
        <v>204</v>
      </c>
    </row>
    <row r="4" customFormat="false" ht="15" hidden="false" customHeight="false" outlineLevel="0" collapsed="false">
      <c r="A4" s="0" t="s">
        <v>119</v>
      </c>
      <c r="B4" s="31" t="n">
        <v>400480</v>
      </c>
      <c r="C4" s="30" t="n">
        <v>6</v>
      </c>
      <c r="D4" s="31" t="n">
        <v>8339.81699346405</v>
      </c>
      <c r="E4" s="31" t="n">
        <v>3144960</v>
      </c>
      <c r="F4" s="31" t="n">
        <v>992778.039215687</v>
      </c>
      <c r="G4" s="31" t="n">
        <v>400480</v>
      </c>
    </row>
    <row r="5" customFormat="false" ht="15" hidden="false" customHeight="false" outlineLevel="0" collapsed="false">
      <c r="A5" s="0" t="s">
        <v>120</v>
      </c>
      <c r="B5" s="31" t="n">
        <v>484993.464052287</v>
      </c>
      <c r="C5" s="30" t="n">
        <v>6</v>
      </c>
      <c r="D5" s="31" t="n">
        <v>16000</v>
      </c>
      <c r="E5" s="31" t="n">
        <v>4992000</v>
      </c>
      <c r="F5" s="31" t="n">
        <v>2003168.62745098</v>
      </c>
      <c r="G5" s="31" t="n">
        <v>553369.934640523</v>
      </c>
    </row>
    <row r="6" customFormat="false" ht="15" hidden="false" customHeight="false" outlineLevel="0" collapsed="false">
      <c r="A6" s="0" t="s">
        <v>121</v>
      </c>
      <c r="B6" s="31" t="n">
        <v>563170.980392157</v>
      </c>
      <c r="C6" s="30" t="n">
        <v>6</v>
      </c>
      <c r="D6" s="31" t="n">
        <v>18400</v>
      </c>
      <c r="E6" s="31" t="n">
        <v>6027840</v>
      </c>
      <c r="F6" s="31" t="n">
        <v>2620683.92156863</v>
      </c>
      <c r="G6" s="31" t="n">
        <v>878683.921568627</v>
      </c>
    </row>
    <row r="9" customFormat="false" ht="15" hidden="false" customHeight="false" outlineLevel="0" collapsed="false">
      <c r="A9" s="32" t="s">
        <v>205</v>
      </c>
    </row>
    <row r="10" customFormat="false" ht="15" hidden="false" customHeight="false" outlineLevel="0" collapsed="false">
      <c r="A10" s="0" t="s">
        <v>206</v>
      </c>
      <c r="B10" s="31" t="n">
        <v>-46250.3267973856</v>
      </c>
      <c r="C10" s="31" t="n">
        <v>-66798.6928104575</v>
      </c>
    </row>
    <row r="11" customFormat="false" ht="15" hidden="false" customHeight="false" outlineLevel="0" collapsed="false">
      <c r="A11" s="0" t="s">
        <v>207</v>
      </c>
      <c r="B11" s="31" t="n">
        <v>-59251.6339869281</v>
      </c>
      <c r="C11" s="31" t="n">
        <v>37201.3071895425</v>
      </c>
    </row>
    <row r="12" customFormat="false" ht="15" hidden="false" customHeight="false" outlineLevel="0" collapsed="false">
      <c r="A12" s="0" t="s">
        <v>208</v>
      </c>
      <c r="B12" s="31" t="n">
        <v>-163251.633986928</v>
      </c>
      <c r="C12" s="31" t="n">
        <v>141201.307189543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2026-10-08T22:00:45Z</dcterms:created>
  <dc:creator>openpyxl</dc:creator>
  <dc:description/>
  <dc:language>es-ES</dc:language>
  <cp:lastModifiedBy/>
  <dcterms:modified xsi:type="dcterms:W3CDTF">2026-10-08T22:00:45Z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