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Supuestos" sheetId="2" state="visible" r:id="rId2"/>
    <sheet xmlns:r="http://schemas.openxmlformats.org/officeDocument/2006/relationships" name="Flujo mensual" sheetId="3" state="visible" r:id="rId3"/>
    <sheet xmlns:r="http://schemas.openxmlformats.org/officeDocument/2006/relationships" name="Semana a semana" sheetId="4" state="visible" r:id="rId4"/>
    <sheet xmlns:r="http://schemas.openxmlformats.org/officeDocument/2006/relationships" name="Escenario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0.0%"/>
    <numFmt numFmtId="165" formatCode="$#,##0.00"/>
    <numFmt numFmtId="166" formatCode="$#,##0;($#,##0);-"/>
    <numFmt numFmtId="167" formatCode="#,##0;(#,##0);-"/>
    <numFmt numFmtId="168" formatCode="0.00&quot;x&quot;"/>
    <numFmt numFmtId="169" formatCode="$#,##0.00;($#,##0.00);-"/>
  </numFmts>
  <fonts count="10">
    <font>
      <name val="Calibri"/>
      <family val="2"/>
      <color theme="1"/>
      <sz val="11"/>
      <scheme val="minor"/>
    </font>
    <font>
      <name val="Arial"/>
      <b val="1"/>
      <color rgb="001E4D2B"/>
      <sz val="14"/>
    </font>
    <font>
      <name val="Arial"/>
      <i val="1"/>
    </font>
    <font>
      <name val="Arial"/>
      <b val="1"/>
      <color rgb="00FFFFFF"/>
    </font>
    <font>
      <name val="Arial"/>
      <b val="1"/>
      <color rgb="001E4D2B"/>
    </font>
    <font>
      <name val="Arial"/>
      <color rgb="000000FF"/>
    </font>
    <font>
      <name val="Arial"/>
      <i val="1"/>
      <color rgb="00555555"/>
    </font>
    <font>
      <name val="Arial"/>
    </font>
    <font>
      <name val="Arial"/>
      <b val="1"/>
    </font>
    <font>
      <name val="Arial"/>
      <color rgb="00008000"/>
    </font>
  </fonts>
  <fills count="6">
    <fill>
      <patternFill/>
    </fill>
    <fill>
      <patternFill patternType="gray125"/>
    </fill>
    <fill>
      <patternFill patternType="solid">
        <fgColor rgb="001E4D2B"/>
      </patternFill>
    </fill>
    <fill>
      <patternFill patternType="solid">
        <fgColor rgb="00EDF4EA"/>
      </patternFill>
    </fill>
    <fill>
      <patternFill patternType="solid">
        <fgColor rgb="00FFFF00"/>
      </patternFill>
    </fill>
    <fill>
      <patternFill patternType="solid">
        <fgColor rgb="00F5F4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3" fillId="2" borderId="0" pivotButton="0" quotePrefix="0" xfId="0"/>
    <xf numFmtId="166" fontId="9" fillId="0" borderId="0" pivotButton="0" quotePrefix="0" xfId="0"/>
    <xf numFmtId="1" fontId="9" fillId="0" borderId="0" pivotButton="0" quotePrefix="0" xfId="0"/>
    <xf numFmtId="168" fontId="9" fillId="0" borderId="0" pivotButton="0" quotePrefix="0" xfId="0"/>
    <xf numFmtId="0" fontId="4" fillId="3" borderId="0" pivotButton="0" quotePrefix="0" xfId="0"/>
    <xf numFmtId="169" fontId="0" fillId="0" borderId="0" pivotButton="0" quotePrefix="0" xfId="0"/>
    <xf numFmtId="0" fontId="2" fillId="0" borderId="0" pivotButton="0" quotePrefix="0" xfId="0"/>
    <xf numFmtId="4" fontId="5" fillId="4" borderId="0" pivotButton="0" quotePrefix="0" xfId="0"/>
    <xf numFmtId="0" fontId="6" fillId="0" borderId="0" pivotButton="0" quotePrefix="0" xfId="0"/>
    <xf numFmtId="164" fontId="5" fillId="4" borderId="0" pivotButton="0" quotePrefix="0" xfId="0"/>
    <xf numFmtId="165" fontId="5" fillId="4" borderId="0" pivotButton="0" quotePrefix="0" xfId="0"/>
    <xf numFmtId="166" fontId="5" fillId="4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0" fontId="5" fillId="4" borderId="0" pivotButton="0" quotePrefix="0" xfId="0"/>
    <xf numFmtId="0" fontId="3" fillId="2" borderId="0" applyAlignment="1" pivotButton="0" quotePrefix="0" xfId="0">
      <alignment horizontal="center"/>
    </xf>
    <xf numFmtId="0" fontId="7" fillId="0" borderId="0" pivotButton="0" quotePrefix="0" xfId="0"/>
    <xf numFmtId="167" fontId="7" fillId="0" borderId="0" pivotButton="0" quotePrefix="0" xfId="0"/>
    <xf numFmtId="167" fontId="8" fillId="0" borderId="0" pivotButton="0" quotePrefix="0" xfId="0"/>
    <xf numFmtId="0" fontId="8" fillId="0" borderId="0" pivotButton="0" quotePrefix="0" xfId="0"/>
    <xf numFmtId="166" fontId="8" fillId="5" borderId="0" pivotButton="0" quotePrefix="0" xfId="0"/>
    <xf numFmtId="166" fontId="8" fillId="0" borderId="0" pivotButton="0" quotePrefix="0" xfId="0"/>
    <xf numFmtId="166" fontId="7" fillId="0" borderId="0" pivotButton="0" quotePrefix="0" xfId="0"/>
    <xf numFmtId="168" fontId="7" fillId="0" borderId="0" pivotButton="0" quotePrefix="0" xfId="0"/>
    <xf numFmtId="1" fontId="7" fillId="0" borderId="0" pivotButton="0" quotePrefix="0" xfId="0"/>
    <xf numFmtId="1" fontId="0" fillId="0" borderId="0" pivotButton="0" quotePrefix="0" xfId="0"/>
    <xf numFmtId="166" fontId="0" fillId="0" borderId="0" pivotButton="0" quotePrefix="0" xfId="0"/>
    <xf numFmtId="168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78" customWidth="1" min="1" max="1"/>
    <col width="20" customWidth="1" min="2" max="2"/>
  </cols>
  <sheetData>
    <row r="1">
      <c r="A1" s="1" t="inlineStr">
        <is>
          <t>Resumen para el financista (escenario activo)</t>
        </is>
      </c>
    </row>
    <row r="4">
      <c r="A4" s="2" t="inlineStr">
        <is>
          <t>Indicador</t>
        </is>
      </c>
      <c r="B4" s="2" t="inlineStr">
        <is>
          <t>Valor</t>
        </is>
      </c>
    </row>
    <row r="5">
      <c r="A5" t="inlineStr">
        <is>
          <t>Préstamo solicitado</t>
        </is>
      </c>
      <c r="B5" s="3">
        <f>Supuestos!$B$23</f>
        <v/>
      </c>
    </row>
    <row r="6">
      <c r="A6" t="inlineStr">
        <is>
          <t>Plazo (meses)</t>
        </is>
      </c>
      <c r="B6" s="4">
        <f>Supuestos!$B$25</f>
        <v/>
      </c>
    </row>
    <row r="7">
      <c r="A7" t="inlineStr">
        <is>
          <t>Capital que exige la operación a nivel mensual (pico del flujo acumulado; negativo = no exige)</t>
        </is>
      </c>
      <c r="B7" s="3">
        <f>-MIN('Flujo mensual'!$B$21:$Y$21)</f>
        <v/>
      </c>
    </row>
    <row r="8">
      <c r="A8" t="inlineStr">
        <is>
          <t>Caja mínima con el préstamo</t>
        </is>
      </c>
      <c r="B8" s="3">
        <f>MIN('Flujo mensual'!$B$34:$Y$34)</f>
        <v/>
      </c>
    </row>
    <row r="9">
      <c r="A9" t="inlineStr">
        <is>
          <t>Mes de la caja mínima</t>
        </is>
      </c>
      <c r="B9" s="4">
        <f>MATCH(MIN('Flujo mensual'!$B$34:$Y$34),'Flujo mensual'!$B$34:$Y$34,0)</f>
        <v/>
      </c>
    </row>
    <row r="10">
      <c r="A10" t="inlineStr">
        <is>
          <t>Mes en que la operación recupera lo invertido</t>
        </is>
      </c>
      <c r="B10" s="4">
        <f>IF(MIN('Flujo mensual'!$B$31:$Y$31)=999,"&gt; 24",MIN('Flujo mensual'!$B$31:$Y$31))</f>
        <v/>
      </c>
    </row>
    <row r="11">
      <c r="A11" t="inlineStr">
        <is>
          <t>Cobertura mínima del servicio de deuda</t>
        </is>
      </c>
      <c r="B11" s="5">
        <f>MIN('Flujo mensual'!$B$30:$Y$30)</f>
        <v/>
      </c>
    </row>
    <row r="12">
      <c r="A12" t="inlineStr">
        <is>
          <t>Intereses totales</t>
        </is>
      </c>
      <c r="B12" s="3">
        <f>SUM('Flujo mensual'!$B$26:$Y$26)</f>
        <v/>
      </c>
    </row>
    <row r="13">
      <c r="A13" t="inlineStr">
        <is>
          <t>EBITDA durante el plazo del préstamo</t>
        </is>
      </c>
      <c r="B13" s="3">
        <f>SUM('Flujo mensual'!$B$22:INDEX('Flujo mensual'!$B$22:$Y$22,1,Supuestos!$B$25))</f>
        <v/>
      </c>
    </row>
    <row r="14">
      <c r="A14" t="inlineStr">
        <is>
          <t>EBITDA del plazo ÷ préstamo</t>
        </is>
      </c>
      <c r="B14" s="5">
        <f>B13/Supuestos!$B$23</f>
        <v/>
      </c>
    </row>
    <row r="15">
      <c r="A15" t="inlineStr">
        <is>
          <t>Garantía ÷ préstamo</t>
        </is>
      </c>
      <c r="B15" s="5">
        <f>Supuestos!$B$27/Supuestos!$B$23</f>
        <v/>
      </c>
    </row>
    <row r="16">
      <c r="A16" t="inlineStr">
        <is>
          <t>Ventas 24 meses</t>
        </is>
      </c>
      <c r="B16" s="3">
        <f>SUM('Flujo mensual'!$B$7:$Y$7)</f>
        <v/>
      </c>
    </row>
    <row r="17">
      <c r="A17" t="inlineStr">
        <is>
          <t>EBITDA 24 meses</t>
        </is>
      </c>
      <c r="B17" s="3">
        <f>SUM('Flujo mensual'!$B$22:$Y$22)</f>
        <v/>
      </c>
    </row>
    <row r="18">
      <c r="A18" t="inlineStr">
        <is>
          <t>Caja al mes 24 (préstamo pagado)</t>
        </is>
      </c>
      <c r="B18" s="3">
        <f>INDEX('Flujo mensual'!$B$34:$Y$34,1,24)</f>
        <v/>
      </c>
    </row>
    <row r="21">
      <c r="A21" s="6" t="inlineStr">
        <is>
          <t>ECONOMÍA POR METRO CÚBICO ASERRADO</t>
        </is>
      </c>
    </row>
    <row r="22">
      <c r="A22" t="inlineStr">
        <is>
          <t>Precio de venta</t>
        </is>
      </c>
      <c r="B22" s="7">
        <f>Supuestos!$B$20</f>
        <v/>
      </c>
    </row>
    <row r="23">
      <c r="A23" t="inlineStr">
        <is>
          <t>(−) Madera en pie</t>
        </is>
      </c>
      <c r="B23" s="7">
        <f>-Supuestos!$B$31</f>
        <v/>
      </c>
    </row>
    <row r="24">
      <c r="A24" t="inlineStr">
        <is>
          <t>(−) Tumba, roleo, carga y flete</t>
        </is>
      </c>
      <c r="B24" s="7">
        <f>-Supuestos!$B$32</f>
        <v/>
      </c>
    </row>
    <row r="25">
      <c r="A25" t="inlineStr">
        <is>
          <t>(−) Gasoil</t>
        </is>
      </c>
      <c r="B25" s="7">
        <f>-Supuestos!$B$13</f>
        <v/>
      </c>
    </row>
    <row r="26">
      <c r="A26" t="inlineStr">
        <is>
          <t>(−) Nómina por producción</t>
        </is>
      </c>
      <c r="B26" s="7">
        <f>-Supuestos!$B$14</f>
        <v/>
      </c>
    </row>
    <row r="27">
      <c r="A27" t="inlineStr">
        <is>
          <t>(−) Otros de planta</t>
        </is>
      </c>
      <c r="B27" s="7">
        <f>-Supuestos!$B$15</f>
        <v/>
      </c>
    </row>
    <row r="28">
      <c r="A28" t="inlineStr">
        <is>
          <t>Margen directo por m³</t>
        </is>
      </c>
      <c r="B28" s="7">
        <f>Supuestos!$B$34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6" customWidth="1" min="1" max="1"/>
    <col width="16" customWidth="1" min="2" max="2"/>
    <col width="20" customWidth="1" min="3" max="3"/>
    <col width="16" customWidth="1" min="4" max="4"/>
    <col width="12" customWidth="1" min="5" max="5"/>
  </cols>
  <sheetData>
    <row r="1">
      <c r="A1" s="1" t="inlineStr">
        <is>
          <t>Pinos del Sur / Maderas La Rola · Modelo económico · mercado nacional</t>
        </is>
      </c>
    </row>
    <row r="2">
      <c r="A2" s="8" t="inlineStr">
        <is>
          <t>Celdas en AZUL sobre AMARILLO se editan. Todo lo demás son fórmulas. Montos en US$.</t>
        </is>
      </c>
    </row>
    <row r="4">
      <c r="A4" s="2" t="inlineStr">
        <is>
          <t>Concepto</t>
        </is>
      </c>
      <c r="B4" s="2" t="inlineStr">
        <is>
          <t>Valor</t>
        </is>
      </c>
      <c r="C4" s="2" t="inlineStr">
        <is>
          <t>Unidad</t>
        </is>
      </c>
      <c r="D4" s="2" t="inlineStr">
        <is>
          <t>Fuente / nota</t>
        </is>
      </c>
    </row>
    <row r="5">
      <c r="A5" s="6" t="inlineStr">
        <is>
          <t>PRODUCCIÓN</t>
        </is>
      </c>
    </row>
    <row r="6">
      <c r="A6" t="inlineStr">
        <is>
          <t>Producción de madera aserrada</t>
        </is>
      </c>
      <c r="B6" s="9" t="n">
        <v>800</v>
      </c>
      <c r="C6" t="inlineStr">
        <is>
          <t>m³/mes</t>
        </is>
      </c>
      <c r="D6" s="10" t="inlineStr">
        <is>
          <t>Jorge: 200 m³ por semana, 40-45 m³ por día en un turno (probado)</t>
        </is>
      </c>
    </row>
    <row r="7">
      <c r="A7" t="inlineStr">
        <is>
          <t>Rola por m³ aserrado</t>
        </is>
      </c>
      <c r="B7" s="9" t="n">
        <v>3.5</v>
      </c>
      <c r="C7" t="inlineStr">
        <is>
          <t>m estéreo</t>
        </is>
      </c>
      <c r="D7" s="10" t="inlineStr">
        <is>
          <t>Jorge · 3-oct</t>
        </is>
      </c>
    </row>
    <row r="8">
      <c r="A8" t="inlineStr">
        <is>
          <t>Metros estéreo por m³ sólido de rola</t>
        </is>
      </c>
      <c r="B8" s="9" t="n">
        <v>1.53</v>
      </c>
      <c r="C8" t="inlineStr">
        <is>
          <t>m est / m³</t>
        </is>
      </c>
      <c r="D8" s="10" t="inlineStr">
        <is>
          <t>Jorge · 3-oct (rendimiento resultante 44%)</t>
        </is>
      </c>
    </row>
    <row r="9">
      <c r="A9" t="inlineStr">
        <is>
          <t>Producción del mes 1</t>
        </is>
      </c>
      <c r="B9" s="11" t="n">
        <v>1</v>
      </c>
      <c r="C9" t="inlineStr">
        <is>
          <t>% de la capacidad</t>
        </is>
      </c>
      <c r="D9" s="10" t="inlineStr">
        <is>
          <t>Jorge: la semana 1 ya produce 200 m³</t>
        </is>
      </c>
    </row>
    <row r="10">
      <c r="A10" s="6" t="inlineStr">
        <is>
          <t>COSTO DIRECTO (por m³ aserrado salvo indicación)</t>
        </is>
      </c>
    </row>
    <row r="11">
      <c r="A11" t="inlineStr">
        <is>
          <t>Madera en pie de terceros</t>
        </is>
      </c>
      <c r="B11" s="12" t="n">
        <v>20</v>
      </c>
      <c r="C11" t="inlineStr">
        <is>
          <t>$/m³ sólido</t>
        </is>
      </c>
      <c r="D11" s="10" t="inlineStr">
        <is>
          <t>Jorge: 460 m³ = $9.200 por semana · se paga a medida que se corta</t>
        </is>
      </c>
    </row>
    <row r="12">
      <c r="A12" t="inlineStr">
        <is>
          <t>Tumba, roleo, carga y flete bosque → aserradero</t>
        </is>
      </c>
      <c r="B12" s="12" t="n">
        <v>18</v>
      </c>
      <c r="C12" t="inlineStr">
        <is>
          <t>$/m estéreo</t>
        </is>
      </c>
      <c r="D12" s="10" t="inlineStr">
        <is>
          <t>Jorge 3-oct (20:17): 707 m est × $18 = $12.726 por semana · el audio de las 16:19 decía $15</t>
        </is>
      </c>
    </row>
    <row r="13">
      <c r="A13" t="inlineStr">
        <is>
          <t>Gasoil</t>
        </is>
      </c>
      <c r="B13" s="12" t="n">
        <v>13.5</v>
      </c>
      <c r="C13" t="inlineStr">
        <is>
          <t>$/m³ aserrado</t>
        </is>
      </c>
      <c r="D13" s="10" t="inlineStr">
        <is>
          <t>Jorge: 500 L/día a $0,90 = $2.700 por semana ÷ 200 m³</t>
        </is>
      </c>
    </row>
    <row r="14">
      <c r="A14" t="inlineStr">
        <is>
          <t>Nómina por producción</t>
        </is>
      </c>
      <c r="B14" s="12" t="n">
        <v>25</v>
      </c>
      <c r="C14" t="inlineStr">
        <is>
          <t>$/m³ aserrado</t>
        </is>
      </c>
      <c r="D14" s="10" t="inlineStr">
        <is>
          <t>Jorge: 200 m³ × $25 = $5.000 por semana ('castigado, puede ser menos')</t>
        </is>
      </c>
    </row>
    <row r="15">
      <c r="A15" t="inlineStr">
        <is>
          <t>Otros de planta (sierras, afilado, energía, mantenimiento menor)</t>
        </is>
      </c>
      <c r="B15" s="12" t="n">
        <v>2.5</v>
      </c>
      <c r="C15" t="inlineStr">
        <is>
          <t>$/m³ aserrado</t>
        </is>
      </c>
      <c r="D15" s="10" t="inlineStr">
        <is>
          <t>Supuesto para cerrar en $150 · Jorge no lo desglosó</t>
        </is>
      </c>
    </row>
    <row r="16">
      <c r="A16" t="inlineStr">
        <is>
          <t>Administración y gerencia (fijo)</t>
        </is>
      </c>
      <c r="B16" s="12" t="n">
        <v>8000</v>
      </c>
      <c r="C16" t="inlineStr">
        <is>
          <t>$/mes</t>
        </is>
      </c>
      <c r="D16" s="10" t="inlineStr">
        <is>
          <t>Supuesto (gerencia, contabilidad, permisos, oficina)</t>
        </is>
      </c>
    </row>
    <row r="17">
      <c r="A17" t="inlineStr">
        <is>
          <t>Gastos únicos de arranque: discos y vidias $5.000 + aceite de equipos $3.000</t>
        </is>
      </c>
      <c r="B17" s="13" t="n">
        <v>8000</v>
      </c>
      <c r="C17" t="inlineStr">
        <is>
          <t>$ en la semana 1</t>
        </is>
      </c>
      <c r="D17" s="10" t="inlineStr">
        <is>
          <t>Jorge · 3-oct</t>
        </is>
      </c>
    </row>
    <row r="18">
      <c r="A18" t="inlineStr">
        <is>
          <t>Stock inicial de gasoil (10.000 L)</t>
        </is>
      </c>
      <c r="B18" s="13" t="n">
        <v>9000</v>
      </c>
      <c r="C18" t="inlineStr">
        <is>
          <t>$ en la semana 1</t>
        </is>
      </c>
      <c r="D18" s="10" t="inlineStr">
        <is>
          <t>Jorge · dura ~3,3 semanas; se repone en la semana 4</t>
        </is>
      </c>
    </row>
    <row r="19">
      <c r="A19" s="6" t="inlineStr">
        <is>
          <t>VENTA Y COBRO</t>
        </is>
      </c>
    </row>
    <row r="20">
      <c r="A20" t="inlineStr">
        <is>
          <t>Precio de venta · tablas 10 y 15 verde, en planta</t>
        </is>
      </c>
      <c r="B20" s="12" t="n">
        <v>260</v>
      </c>
      <c r="C20" t="inlineStr">
        <is>
          <t>$/m³ aserrado</t>
        </is>
      </c>
      <c r="D20" s="10" t="inlineStr">
        <is>
          <t>Jorge · precio de mercado en planta</t>
        </is>
      </c>
    </row>
    <row r="21">
      <c r="A21" t="inlineStr">
        <is>
          <t>Cobro de contado al despacho</t>
        </is>
      </c>
      <c r="B21" s="11" t="n">
        <v>1</v>
      </c>
      <c r="C21" t="inlineStr">
        <is>
          <t>% (el resto a 30 días)</t>
        </is>
      </c>
      <c r="D21" s="10" t="inlineStr">
        <is>
          <t>CONDICIÓN DE VENTA que la empresa compromete · orden de compra previa</t>
        </is>
      </c>
    </row>
    <row r="22">
      <c r="A22" s="6" t="inlineStr">
        <is>
          <t>DEUDA</t>
        </is>
      </c>
    </row>
    <row r="23">
      <c r="A23" t="inlineStr">
        <is>
          <t>Monto del préstamo</t>
        </is>
      </c>
      <c r="B23" s="13" t="n">
        <v>75000</v>
      </c>
      <c r="C23" t="inlineStr">
        <is>
          <t>$</t>
        </is>
      </c>
      <c r="D23" s="10" t="inlineStr">
        <is>
          <t>Semana 1 completa ($43.926) más colchón del 70%</t>
        </is>
      </c>
    </row>
    <row r="24">
      <c r="A24" t="inlineStr">
        <is>
          <t>Tasa de interés anual</t>
        </is>
      </c>
      <c r="B24" s="11" t="n">
        <v>0.6</v>
      </c>
      <c r="C24" t="inlineStr">
        <is>
          <t>% anual</t>
        </is>
      </c>
      <c r="D24" s="10" t="inlineStr">
        <is>
          <t>5% mensual sobre saldo</t>
        </is>
      </c>
    </row>
    <row r="25">
      <c r="A25" t="inlineStr">
        <is>
          <t>Plazo</t>
        </is>
      </c>
      <c r="B25" s="9" t="n">
        <v>12</v>
      </c>
      <c r="C25" t="inlineStr">
        <is>
          <t>meses</t>
        </is>
      </c>
      <c r="D25" s="10" t="inlineStr">
        <is>
          <t>Sin gracia: capital e interés desde el mes 1</t>
        </is>
      </c>
    </row>
    <row r="26">
      <c r="A26" s="6" t="inlineStr">
        <is>
          <t>GARANTÍA</t>
        </is>
      </c>
    </row>
    <row r="27">
      <c r="A27" t="inlineStr">
        <is>
          <t>Valor declarado de la garantía (aserradero + maquinaria + 300 ha de pino)</t>
        </is>
      </c>
      <c r="B27" s="13" t="n">
        <v>2200000</v>
      </c>
      <c r="C27" t="inlineStr">
        <is>
          <t>$</t>
        </is>
      </c>
      <c r="D27" s="10" t="inlineStr">
        <is>
          <t>Declarado por la empresa · avalúo pendiente</t>
        </is>
      </c>
    </row>
    <row r="29">
      <c r="A29" s="6" t="inlineStr">
        <is>
          <t>DERIVADOS (fórmulas)</t>
        </is>
      </c>
    </row>
    <row r="30">
      <c r="A30" t="inlineStr">
        <is>
          <t>Rendimiento rola sólida → aserrado</t>
        </is>
      </c>
      <c r="B30" s="14">
        <f>Supuestos!$B$8/Supuestos!$B$7</f>
        <v/>
      </c>
      <c r="C30" t="inlineStr">
        <is>
          <t>%</t>
        </is>
      </c>
    </row>
    <row r="31">
      <c r="A31" t="inlineStr">
        <is>
          <t>Madera en pie por m³ aserrado</t>
        </is>
      </c>
      <c r="B31" s="15">
        <f>Supuestos!$B$11*Supuestos!$B$7/Supuestos!$B$8</f>
        <v/>
      </c>
      <c r="C31" t="inlineStr">
        <is>
          <t>$/m³ aserrado</t>
        </is>
      </c>
    </row>
    <row r="32">
      <c r="A32" t="inlineStr">
        <is>
          <t>Operación forestal por m³ aserrado</t>
        </is>
      </c>
      <c r="B32" s="15">
        <f>Supuestos!$B$12*Supuestos!$B$7</f>
        <v/>
      </c>
      <c r="C32" t="inlineStr">
        <is>
          <t>$/m³ aserrado</t>
        </is>
      </c>
    </row>
    <row r="33">
      <c r="A33" t="inlineStr">
        <is>
          <t>Costo directo por m³ aserrado</t>
        </is>
      </c>
      <c r="B33" s="15">
        <f>Supuestos!$B$31+Supuestos!$B$32+Supuestos!$B$13+Supuestos!$B$14+Supuestos!$B$15</f>
        <v/>
      </c>
      <c r="C33" t="inlineStr">
        <is>
          <t>$/m³ aserrado</t>
        </is>
      </c>
    </row>
    <row r="34">
      <c r="A34" t="inlineStr">
        <is>
          <t>Margen directo por m³</t>
        </is>
      </c>
      <c r="B34" s="15">
        <f>Supuestos!$B$20-Supuestos!$B$33</f>
        <v/>
      </c>
      <c r="C34" t="inlineStr">
        <is>
          <t>$/m³ aserrado</t>
        </is>
      </c>
    </row>
    <row r="35">
      <c r="A35" t="inlineStr">
        <is>
          <t>Rola sólida necesaria por mes</t>
        </is>
      </c>
      <c r="B35" s="16">
        <f>Supuestos!$B$6*Supuestos!$B$7/Supuestos!$B$8</f>
        <v/>
      </c>
      <c r="C35" t="inlineStr">
        <is>
          <t>m³ sólido/mes</t>
        </is>
      </c>
    </row>
    <row r="37">
      <c r="A37" s="6" t="inlineStr">
        <is>
          <t>ESCENARIOS</t>
        </is>
      </c>
    </row>
    <row r="38">
      <c r="A38" t="inlineStr">
        <is>
          <t>Escenario activo (1 = Conservador · 2 = Medio · 3 = Optimista)</t>
        </is>
      </c>
      <c r="B38" s="17" t="n">
        <v>2</v>
      </c>
    </row>
    <row r="39">
      <c r="A39" s="2" t="inlineStr">
        <is>
          <t>Palanca</t>
        </is>
      </c>
      <c r="B39" s="2" t="inlineStr">
        <is>
          <t>Conservador</t>
        </is>
      </c>
      <c r="C39" s="2" t="inlineStr">
        <is>
          <t>Medio</t>
        </is>
      </c>
      <c r="D39" s="2" t="inlineStr">
        <is>
          <t>Optimista</t>
        </is>
      </c>
      <c r="E39" s="2" t="inlineStr">
        <is>
          <t>Activo</t>
        </is>
      </c>
    </row>
    <row r="40">
      <c r="A40" t="inlineStr">
        <is>
          <t>Factor de volumen</t>
        </is>
      </c>
      <c r="B40" s="11" t="n">
        <v>0.7</v>
      </c>
      <c r="C40" s="11" t="n">
        <v>1</v>
      </c>
      <c r="D40" s="11" t="n">
        <v>1.15</v>
      </c>
      <c r="E40" s="14">
        <f>INDEX($B$40:$D$40,1,Supuestos!$B$38)</f>
        <v/>
      </c>
    </row>
    <row r="41">
      <c r="A41" t="inlineStr">
        <is>
          <t>Factor de precio</t>
        </is>
      </c>
      <c r="B41" s="11" t="n">
        <v>0.9</v>
      </c>
      <c r="C41" s="11" t="n">
        <v>1</v>
      </c>
      <c r="D41" s="11" t="n">
        <v>1.05</v>
      </c>
      <c r="E41" s="14">
        <f>INDEX($B$41:$D$41,1,Supuestos!$B$38)</f>
        <v/>
      </c>
    </row>
    <row r="42">
      <c r="A42" t="inlineStr">
        <is>
          <t>Cobro de contado (resto a 30 días)</t>
        </is>
      </c>
      <c r="B42" s="11" t="n">
        <v>0.5</v>
      </c>
      <c r="C42" s="11" t="n">
        <v>1</v>
      </c>
      <c r="D42" s="11" t="n">
        <v>1</v>
      </c>
      <c r="E42" s="14">
        <f>INDEX($B$42:$D$42,1,Supuestos!$B$38)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Z3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8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</cols>
  <sheetData>
    <row r="1">
      <c r="A1" s="1" t="inlineStr">
        <is>
          <t>Flujo de caja mensual · escenario activo</t>
        </is>
      </c>
    </row>
    <row r="4">
      <c r="A4" s="2" t="inlineStr">
        <is>
          <t>Concepto</t>
        </is>
      </c>
      <c r="B4" s="18" t="inlineStr">
        <is>
          <t>Mes 1</t>
        </is>
      </c>
      <c r="C4" s="18" t="inlineStr">
        <is>
          <t>Mes 2</t>
        </is>
      </c>
      <c r="D4" s="18" t="inlineStr">
        <is>
          <t>Mes 3</t>
        </is>
      </c>
      <c r="E4" s="18" t="inlineStr">
        <is>
          <t>Mes 4</t>
        </is>
      </c>
      <c r="F4" s="18" t="inlineStr">
        <is>
          <t>Mes 5</t>
        </is>
      </c>
      <c r="G4" s="18" t="inlineStr">
        <is>
          <t>Mes 6</t>
        </is>
      </c>
      <c r="H4" s="18" t="inlineStr">
        <is>
          <t>Mes 7</t>
        </is>
      </c>
      <c r="I4" s="18" t="inlineStr">
        <is>
          <t>Mes 8</t>
        </is>
      </c>
      <c r="J4" s="18" t="inlineStr">
        <is>
          <t>Mes 9</t>
        </is>
      </c>
      <c r="K4" s="18" t="inlineStr">
        <is>
          <t>Mes 10</t>
        </is>
      </c>
      <c r="L4" s="18" t="inlineStr">
        <is>
          <t>Mes 11</t>
        </is>
      </c>
      <c r="M4" s="18" t="inlineStr">
        <is>
          <t>Mes 12</t>
        </is>
      </c>
      <c r="N4" s="18" t="inlineStr">
        <is>
          <t>Mes 13</t>
        </is>
      </c>
      <c r="O4" s="18" t="inlineStr">
        <is>
          <t>Mes 14</t>
        </is>
      </c>
      <c r="P4" s="18" t="inlineStr">
        <is>
          <t>Mes 15</t>
        </is>
      </c>
      <c r="Q4" s="18" t="inlineStr">
        <is>
          <t>Mes 16</t>
        </is>
      </c>
      <c r="R4" s="18" t="inlineStr">
        <is>
          <t>Mes 17</t>
        </is>
      </c>
      <c r="S4" s="18" t="inlineStr">
        <is>
          <t>Mes 18</t>
        </is>
      </c>
      <c r="T4" s="18" t="inlineStr">
        <is>
          <t>Mes 19</t>
        </is>
      </c>
      <c r="U4" s="18" t="inlineStr">
        <is>
          <t>Mes 20</t>
        </is>
      </c>
      <c r="V4" s="18" t="inlineStr">
        <is>
          <t>Mes 21</t>
        </is>
      </c>
      <c r="W4" s="18" t="inlineStr">
        <is>
          <t>Mes 22</t>
        </is>
      </c>
      <c r="X4" s="18" t="inlineStr">
        <is>
          <t>Mes 23</t>
        </is>
      </c>
      <c r="Y4" s="18" t="inlineStr">
        <is>
          <t>Mes 24</t>
        </is>
      </c>
      <c r="Z4" s="2" t="inlineStr">
        <is>
          <t>Total 24 m</t>
        </is>
      </c>
    </row>
    <row r="5">
      <c r="A5" s="6" t="inlineStr">
        <is>
          <t>PRODUCCIÓN Y VENTA</t>
        </is>
      </c>
    </row>
    <row r="6">
      <c r="A6" s="19" t="inlineStr">
        <is>
          <t>Madera aserrada (m³)</t>
        </is>
      </c>
      <c r="B6" s="20">
        <f>Supuestos!$B$6*Supuestos!$E$40*Supuestos!$B$9</f>
        <v/>
      </c>
      <c r="C6" s="20">
        <f>Supuestos!$B$6*Supuestos!$E$40*1</f>
        <v/>
      </c>
      <c r="D6" s="20">
        <f>Supuestos!$B$6*Supuestos!$E$40*1</f>
        <v/>
      </c>
      <c r="E6" s="20">
        <f>Supuestos!$B$6*Supuestos!$E$40*1</f>
        <v/>
      </c>
      <c r="F6" s="20">
        <f>Supuestos!$B$6*Supuestos!$E$40*1</f>
        <v/>
      </c>
      <c r="G6" s="20">
        <f>Supuestos!$B$6*Supuestos!$E$40*1</f>
        <v/>
      </c>
      <c r="H6" s="20">
        <f>Supuestos!$B$6*Supuestos!$E$40*1</f>
        <v/>
      </c>
      <c r="I6" s="20">
        <f>Supuestos!$B$6*Supuestos!$E$40*1</f>
        <v/>
      </c>
      <c r="J6" s="20">
        <f>Supuestos!$B$6*Supuestos!$E$40*1</f>
        <v/>
      </c>
      <c r="K6" s="20">
        <f>Supuestos!$B$6*Supuestos!$E$40*1</f>
        <v/>
      </c>
      <c r="L6" s="20">
        <f>Supuestos!$B$6*Supuestos!$E$40*1</f>
        <v/>
      </c>
      <c r="M6" s="20">
        <f>Supuestos!$B$6*Supuestos!$E$40*1</f>
        <v/>
      </c>
      <c r="N6" s="20">
        <f>Supuestos!$B$6*Supuestos!$E$40*1</f>
        <v/>
      </c>
      <c r="O6" s="20">
        <f>Supuestos!$B$6*Supuestos!$E$40*1</f>
        <v/>
      </c>
      <c r="P6" s="20">
        <f>Supuestos!$B$6*Supuestos!$E$40*1</f>
        <v/>
      </c>
      <c r="Q6" s="20">
        <f>Supuestos!$B$6*Supuestos!$E$40*1</f>
        <v/>
      </c>
      <c r="R6" s="20">
        <f>Supuestos!$B$6*Supuestos!$E$40*1</f>
        <v/>
      </c>
      <c r="S6" s="20">
        <f>Supuestos!$B$6*Supuestos!$E$40*1</f>
        <v/>
      </c>
      <c r="T6" s="20">
        <f>Supuestos!$B$6*Supuestos!$E$40*1</f>
        <v/>
      </c>
      <c r="U6" s="20">
        <f>Supuestos!$B$6*Supuestos!$E$40*1</f>
        <v/>
      </c>
      <c r="V6" s="20">
        <f>Supuestos!$B$6*Supuestos!$E$40*1</f>
        <v/>
      </c>
      <c r="W6" s="20">
        <f>Supuestos!$B$6*Supuestos!$E$40*1</f>
        <v/>
      </c>
      <c r="X6" s="20">
        <f>Supuestos!$B$6*Supuestos!$E$40*1</f>
        <v/>
      </c>
      <c r="Y6" s="20">
        <f>Supuestos!$B$6*Supuestos!$E$40*1</f>
        <v/>
      </c>
      <c r="Z6" s="21">
        <f>SUM(B6:Y6)</f>
        <v/>
      </c>
    </row>
    <row r="7">
      <c r="A7" s="22" t="inlineStr">
        <is>
          <t>Ventas ($)</t>
        </is>
      </c>
      <c r="B7" s="23">
        <f>B6*Supuestos!$B$20*Supuestos!$E$41</f>
        <v/>
      </c>
      <c r="C7" s="23">
        <f>C6*Supuestos!$B$20*Supuestos!$E$41</f>
        <v/>
      </c>
      <c r="D7" s="23">
        <f>D6*Supuestos!$B$20*Supuestos!$E$41</f>
        <v/>
      </c>
      <c r="E7" s="23">
        <f>E6*Supuestos!$B$20*Supuestos!$E$41</f>
        <v/>
      </c>
      <c r="F7" s="23">
        <f>F6*Supuestos!$B$20*Supuestos!$E$41</f>
        <v/>
      </c>
      <c r="G7" s="23">
        <f>G6*Supuestos!$B$20*Supuestos!$E$41</f>
        <v/>
      </c>
      <c r="H7" s="23">
        <f>H6*Supuestos!$B$20*Supuestos!$E$41</f>
        <v/>
      </c>
      <c r="I7" s="23">
        <f>I6*Supuestos!$B$20*Supuestos!$E$41</f>
        <v/>
      </c>
      <c r="J7" s="23">
        <f>J6*Supuestos!$B$20*Supuestos!$E$41</f>
        <v/>
      </c>
      <c r="K7" s="23">
        <f>K6*Supuestos!$B$20*Supuestos!$E$41</f>
        <v/>
      </c>
      <c r="L7" s="23">
        <f>L6*Supuestos!$B$20*Supuestos!$E$41</f>
        <v/>
      </c>
      <c r="M7" s="23">
        <f>M6*Supuestos!$B$20*Supuestos!$E$41</f>
        <v/>
      </c>
      <c r="N7" s="23">
        <f>N6*Supuestos!$B$20*Supuestos!$E$41</f>
        <v/>
      </c>
      <c r="O7" s="23">
        <f>O6*Supuestos!$B$20*Supuestos!$E$41</f>
        <v/>
      </c>
      <c r="P7" s="23">
        <f>P6*Supuestos!$B$20*Supuestos!$E$41</f>
        <v/>
      </c>
      <c r="Q7" s="23">
        <f>Q6*Supuestos!$B$20*Supuestos!$E$41</f>
        <v/>
      </c>
      <c r="R7" s="23">
        <f>R6*Supuestos!$B$20*Supuestos!$E$41</f>
        <v/>
      </c>
      <c r="S7" s="23">
        <f>S6*Supuestos!$B$20*Supuestos!$E$41</f>
        <v/>
      </c>
      <c r="T7" s="23">
        <f>T6*Supuestos!$B$20*Supuestos!$E$41</f>
        <v/>
      </c>
      <c r="U7" s="23">
        <f>U6*Supuestos!$B$20*Supuestos!$E$41</f>
        <v/>
      </c>
      <c r="V7" s="23">
        <f>V6*Supuestos!$B$20*Supuestos!$E$41</f>
        <v/>
      </c>
      <c r="W7" s="23">
        <f>W6*Supuestos!$B$20*Supuestos!$E$41</f>
        <v/>
      </c>
      <c r="X7" s="23">
        <f>X6*Supuestos!$B$20*Supuestos!$E$41</f>
        <v/>
      </c>
      <c r="Y7" s="23">
        <f>Y6*Supuestos!$B$20*Supuestos!$E$41</f>
        <v/>
      </c>
      <c r="Z7" s="24">
        <f>SUM(B7:Y7)</f>
        <v/>
      </c>
    </row>
    <row r="8">
      <c r="A8" s="6" t="inlineStr">
        <is>
          <t>COBROS</t>
        </is>
      </c>
    </row>
    <row r="9">
      <c r="A9" s="22" t="inlineStr">
        <is>
          <t>Cobros (contado del mes + crédito del mes anterior)</t>
        </is>
      </c>
      <c r="B9" s="23">
        <f>B7*Supuestos!$E$42</f>
        <v/>
      </c>
      <c r="C9" s="23">
        <f>C7*Supuestos!$E$42+B7*(1-Supuestos!$E$42)</f>
        <v/>
      </c>
      <c r="D9" s="23">
        <f>D7*Supuestos!$E$42+C7*(1-Supuestos!$E$42)</f>
        <v/>
      </c>
      <c r="E9" s="23">
        <f>E7*Supuestos!$E$42+D7*(1-Supuestos!$E$42)</f>
        <v/>
      </c>
      <c r="F9" s="23">
        <f>F7*Supuestos!$E$42+E7*(1-Supuestos!$E$42)</f>
        <v/>
      </c>
      <c r="G9" s="23">
        <f>G7*Supuestos!$E$42+F7*(1-Supuestos!$E$42)</f>
        <v/>
      </c>
      <c r="H9" s="23">
        <f>H7*Supuestos!$E$42+G7*(1-Supuestos!$E$42)</f>
        <v/>
      </c>
      <c r="I9" s="23">
        <f>I7*Supuestos!$E$42+H7*(1-Supuestos!$E$42)</f>
        <v/>
      </c>
      <c r="J9" s="23">
        <f>J7*Supuestos!$E$42+I7*(1-Supuestos!$E$42)</f>
        <v/>
      </c>
      <c r="K9" s="23">
        <f>K7*Supuestos!$E$42+J7*(1-Supuestos!$E$42)</f>
        <v/>
      </c>
      <c r="L9" s="23">
        <f>L7*Supuestos!$E$42+K7*(1-Supuestos!$E$42)</f>
        <v/>
      </c>
      <c r="M9" s="23">
        <f>M7*Supuestos!$E$42+L7*(1-Supuestos!$E$42)</f>
        <v/>
      </c>
      <c r="N9" s="23">
        <f>N7*Supuestos!$E$42+M7*(1-Supuestos!$E$42)</f>
        <v/>
      </c>
      <c r="O9" s="23">
        <f>O7*Supuestos!$E$42+N7*(1-Supuestos!$E$42)</f>
        <v/>
      </c>
      <c r="P9" s="23">
        <f>P7*Supuestos!$E$42+O7*(1-Supuestos!$E$42)</f>
        <v/>
      </c>
      <c r="Q9" s="23">
        <f>Q7*Supuestos!$E$42+P7*(1-Supuestos!$E$42)</f>
        <v/>
      </c>
      <c r="R9" s="23">
        <f>R7*Supuestos!$E$42+Q7*(1-Supuestos!$E$42)</f>
        <v/>
      </c>
      <c r="S9" s="23">
        <f>S7*Supuestos!$E$42+R7*(1-Supuestos!$E$42)</f>
        <v/>
      </c>
      <c r="T9" s="23">
        <f>T7*Supuestos!$E$42+S7*(1-Supuestos!$E$42)</f>
        <v/>
      </c>
      <c r="U9" s="23">
        <f>U7*Supuestos!$E$42+T7*(1-Supuestos!$E$42)</f>
        <v/>
      </c>
      <c r="V9" s="23">
        <f>V7*Supuestos!$E$42+U7*(1-Supuestos!$E$42)</f>
        <v/>
      </c>
      <c r="W9" s="23">
        <f>W7*Supuestos!$E$42+V7*(1-Supuestos!$E$42)</f>
        <v/>
      </c>
      <c r="X9" s="23">
        <f>X7*Supuestos!$E$42+W7*(1-Supuestos!$E$42)</f>
        <v/>
      </c>
      <c r="Y9" s="23">
        <f>Y7*Supuestos!$E$42+X7*(1-Supuestos!$E$42)</f>
        <v/>
      </c>
      <c r="Z9" s="24">
        <f>SUM(B9:Y9)</f>
        <v/>
      </c>
    </row>
    <row r="10">
      <c r="A10" s="6" t="inlineStr">
        <is>
          <t>PAGOS</t>
        </is>
      </c>
    </row>
    <row r="11">
      <c r="A11" s="19" t="inlineStr">
        <is>
          <t>Madera en pie</t>
        </is>
      </c>
      <c r="B11" s="25">
        <f>B6*Supuestos!$B$31</f>
        <v/>
      </c>
      <c r="C11" s="25">
        <f>C6*Supuestos!$B$31</f>
        <v/>
      </c>
      <c r="D11" s="25">
        <f>D6*Supuestos!$B$31</f>
        <v/>
      </c>
      <c r="E11" s="25">
        <f>E6*Supuestos!$B$31</f>
        <v/>
      </c>
      <c r="F11" s="25">
        <f>F6*Supuestos!$B$31</f>
        <v/>
      </c>
      <c r="G11" s="25">
        <f>G6*Supuestos!$B$31</f>
        <v/>
      </c>
      <c r="H11" s="25">
        <f>H6*Supuestos!$B$31</f>
        <v/>
      </c>
      <c r="I11" s="25">
        <f>I6*Supuestos!$B$31</f>
        <v/>
      </c>
      <c r="J11" s="25">
        <f>J6*Supuestos!$B$31</f>
        <v/>
      </c>
      <c r="K11" s="25">
        <f>K6*Supuestos!$B$31</f>
        <v/>
      </c>
      <c r="L11" s="25">
        <f>L6*Supuestos!$B$31</f>
        <v/>
      </c>
      <c r="M11" s="25">
        <f>M6*Supuestos!$B$31</f>
        <v/>
      </c>
      <c r="N11" s="25">
        <f>N6*Supuestos!$B$31</f>
        <v/>
      </c>
      <c r="O11" s="25">
        <f>O6*Supuestos!$B$31</f>
        <v/>
      </c>
      <c r="P11" s="25">
        <f>P6*Supuestos!$B$31</f>
        <v/>
      </c>
      <c r="Q11" s="25">
        <f>Q6*Supuestos!$B$31</f>
        <v/>
      </c>
      <c r="R11" s="25">
        <f>R6*Supuestos!$B$31</f>
        <v/>
      </c>
      <c r="S11" s="25">
        <f>S6*Supuestos!$B$31</f>
        <v/>
      </c>
      <c r="T11" s="25">
        <f>T6*Supuestos!$B$31</f>
        <v/>
      </c>
      <c r="U11" s="25">
        <f>U6*Supuestos!$B$31</f>
        <v/>
      </c>
      <c r="V11" s="25">
        <f>V6*Supuestos!$B$31</f>
        <v/>
      </c>
      <c r="W11" s="25">
        <f>W6*Supuestos!$B$31</f>
        <v/>
      </c>
      <c r="X11" s="25">
        <f>X6*Supuestos!$B$31</f>
        <v/>
      </c>
      <c r="Y11" s="25">
        <f>Y6*Supuestos!$B$31</f>
        <v/>
      </c>
      <c r="Z11" s="24">
        <f>SUM(B11:Y11)</f>
        <v/>
      </c>
    </row>
    <row r="12">
      <c r="A12" s="19" t="inlineStr">
        <is>
          <t>Tumba, roleo, carga y flete</t>
        </is>
      </c>
      <c r="B12" s="25">
        <f>B6*Supuestos!$B$32</f>
        <v/>
      </c>
      <c r="C12" s="25">
        <f>C6*Supuestos!$B$32</f>
        <v/>
      </c>
      <c r="D12" s="25">
        <f>D6*Supuestos!$B$32</f>
        <v/>
      </c>
      <c r="E12" s="25">
        <f>E6*Supuestos!$B$32</f>
        <v/>
      </c>
      <c r="F12" s="25">
        <f>F6*Supuestos!$B$32</f>
        <v/>
      </c>
      <c r="G12" s="25">
        <f>G6*Supuestos!$B$32</f>
        <v/>
      </c>
      <c r="H12" s="25">
        <f>H6*Supuestos!$B$32</f>
        <v/>
      </c>
      <c r="I12" s="25">
        <f>I6*Supuestos!$B$32</f>
        <v/>
      </c>
      <c r="J12" s="25">
        <f>J6*Supuestos!$B$32</f>
        <v/>
      </c>
      <c r="K12" s="25">
        <f>K6*Supuestos!$B$32</f>
        <v/>
      </c>
      <c r="L12" s="25">
        <f>L6*Supuestos!$B$32</f>
        <v/>
      </c>
      <c r="M12" s="25">
        <f>M6*Supuestos!$B$32</f>
        <v/>
      </c>
      <c r="N12" s="25">
        <f>N6*Supuestos!$B$32</f>
        <v/>
      </c>
      <c r="O12" s="25">
        <f>O6*Supuestos!$B$32</f>
        <v/>
      </c>
      <c r="P12" s="25">
        <f>P6*Supuestos!$B$32</f>
        <v/>
      </c>
      <c r="Q12" s="25">
        <f>Q6*Supuestos!$B$32</f>
        <v/>
      </c>
      <c r="R12" s="25">
        <f>R6*Supuestos!$B$32</f>
        <v/>
      </c>
      <c r="S12" s="25">
        <f>S6*Supuestos!$B$32</f>
        <v/>
      </c>
      <c r="T12" s="25">
        <f>T6*Supuestos!$B$32</f>
        <v/>
      </c>
      <c r="U12" s="25">
        <f>U6*Supuestos!$B$32</f>
        <v/>
      </c>
      <c r="V12" s="25">
        <f>V6*Supuestos!$B$32</f>
        <v/>
      </c>
      <c r="W12" s="25">
        <f>W6*Supuestos!$B$32</f>
        <v/>
      </c>
      <c r="X12" s="25">
        <f>X6*Supuestos!$B$32</f>
        <v/>
      </c>
      <c r="Y12" s="25">
        <f>Y6*Supuestos!$B$32</f>
        <v/>
      </c>
      <c r="Z12" s="24">
        <f>SUM(B12:Y12)</f>
        <v/>
      </c>
    </row>
    <row r="13">
      <c r="A13" s="19" t="inlineStr">
        <is>
          <t>Gasoil</t>
        </is>
      </c>
      <c r="B13" s="25">
        <f>B6*Supuestos!$B$13</f>
        <v/>
      </c>
      <c r="C13" s="25">
        <f>C6*Supuestos!$B$13</f>
        <v/>
      </c>
      <c r="D13" s="25">
        <f>D6*Supuestos!$B$13</f>
        <v/>
      </c>
      <c r="E13" s="25">
        <f>E6*Supuestos!$B$13</f>
        <v/>
      </c>
      <c r="F13" s="25">
        <f>F6*Supuestos!$B$13</f>
        <v/>
      </c>
      <c r="G13" s="25">
        <f>G6*Supuestos!$B$13</f>
        <v/>
      </c>
      <c r="H13" s="25">
        <f>H6*Supuestos!$B$13</f>
        <v/>
      </c>
      <c r="I13" s="25">
        <f>I6*Supuestos!$B$13</f>
        <v/>
      </c>
      <c r="J13" s="25">
        <f>J6*Supuestos!$B$13</f>
        <v/>
      </c>
      <c r="K13" s="25">
        <f>K6*Supuestos!$B$13</f>
        <v/>
      </c>
      <c r="L13" s="25">
        <f>L6*Supuestos!$B$13</f>
        <v/>
      </c>
      <c r="M13" s="25">
        <f>M6*Supuestos!$B$13</f>
        <v/>
      </c>
      <c r="N13" s="25">
        <f>N6*Supuestos!$B$13</f>
        <v/>
      </c>
      <c r="O13" s="25">
        <f>O6*Supuestos!$B$13</f>
        <v/>
      </c>
      <c r="P13" s="25">
        <f>P6*Supuestos!$B$13</f>
        <v/>
      </c>
      <c r="Q13" s="25">
        <f>Q6*Supuestos!$B$13</f>
        <v/>
      </c>
      <c r="R13" s="25">
        <f>R6*Supuestos!$B$13</f>
        <v/>
      </c>
      <c r="S13" s="25">
        <f>S6*Supuestos!$B$13</f>
        <v/>
      </c>
      <c r="T13" s="25">
        <f>T6*Supuestos!$B$13</f>
        <v/>
      </c>
      <c r="U13" s="25">
        <f>U6*Supuestos!$B$13</f>
        <v/>
      </c>
      <c r="V13" s="25">
        <f>V6*Supuestos!$B$13</f>
        <v/>
      </c>
      <c r="W13" s="25">
        <f>W6*Supuestos!$B$13</f>
        <v/>
      </c>
      <c r="X13" s="25">
        <f>X6*Supuestos!$B$13</f>
        <v/>
      </c>
      <c r="Y13" s="25">
        <f>Y6*Supuestos!$B$13</f>
        <v/>
      </c>
      <c r="Z13" s="24">
        <f>SUM(B13:Y13)</f>
        <v/>
      </c>
    </row>
    <row r="14">
      <c r="A14" s="19" t="inlineStr">
        <is>
          <t>Nómina por producción</t>
        </is>
      </c>
      <c r="B14" s="25">
        <f>B6*Supuestos!$B$14</f>
        <v/>
      </c>
      <c r="C14" s="25">
        <f>C6*Supuestos!$B$14</f>
        <v/>
      </c>
      <c r="D14" s="25">
        <f>D6*Supuestos!$B$14</f>
        <v/>
      </c>
      <c r="E14" s="25">
        <f>E6*Supuestos!$B$14</f>
        <v/>
      </c>
      <c r="F14" s="25">
        <f>F6*Supuestos!$B$14</f>
        <v/>
      </c>
      <c r="G14" s="25">
        <f>G6*Supuestos!$B$14</f>
        <v/>
      </c>
      <c r="H14" s="25">
        <f>H6*Supuestos!$B$14</f>
        <v/>
      </c>
      <c r="I14" s="25">
        <f>I6*Supuestos!$B$14</f>
        <v/>
      </c>
      <c r="J14" s="25">
        <f>J6*Supuestos!$B$14</f>
        <v/>
      </c>
      <c r="K14" s="25">
        <f>K6*Supuestos!$B$14</f>
        <v/>
      </c>
      <c r="L14" s="25">
        <f>L6*Supuestos!$B$14</f>
        <v/>
      </c>
      <c r="M14" s="25">
        <f>M6*Supuestos!$B$14</f>
        <v/>
      </c>
      <c r="N14" s="25">
        <f>N6*Supuestos!$B$14</f>
        <v/>
      </c>
      <c r="O14" s="25">
        <f>O6*Supuestos!$B$14</f>
        <v/>
      </c>
      <c r="P14" s="25">
        <f>P6*Supuestos!$B$14</f>
        <v/>
      </c>
      <c r="Q14" s="25">
        <f>Q6*Supuestos!$B$14</f>
        <v/>
      </c>
      <c r="R14" s="25">
        <f>R6*Supuestos!$B$14</f>
        <v/>
      </c>
      <c r="S14" s="25">
        <f>S6*Supuestos!$B$14</f>
        <v/>
      </c>
      <c r="T14" s="25">
        <f>T6*Supuestos!$B$14</f>
        <v/>
      </c>
      <c r="U14" s="25">
        <f>U6*Supuestos!$B$14</f>
        <v/>
      </c>
      <c r="V14" s="25">
        <f>V6*Supuestos!$B$14</f>
        <v/>
      </c>
      <c r="W14" s="25">
        <f>W6*Supuestos!$B$14</f>
        <v/>
      </c>
      <c r="X14" s="25">
        <f>X6*Supuestos!$B$14</f>
        <v/>
      </c>
      <c r="Y14" s="25">
        <f>Y6*Supuestos!$B$14</f>
        <v/>
      </c>
      <c r="Z14" s="24">
        <f>SUM(B14:Y14)</f>
        <v/>
      </c>
    </row>
    <row r="15">
      <c r="A15" s="19" t="inlineStr">
        <is>
          <t>Otros de planta</t>
        </is>
      </c>
      <c r="B15" s="25">
        <f>B6*Supuestos!$B$15</f>
        <v/>
      </c>
      <c r="C15" s="25">
        <f>C6*Supuestos!$B$15</f>
        <v/>
      </c>
      <c r="D15" s="25">
        <f>D6*Supuestos!$B$15</f>
        <v/>
      </c>
      <c r="E15" s="25">
        <f>E6*Supuestos!$B$15</f>
        <v/>
      </c>
      <c r="F15" s="25">
        <f>F6*Supuestos!$B$15</f>
        <v/>
      </c>
      <c r="G15" s="25">
        <f>G6*Supuestos!$B$15</f>
        <v/>
      </c>
      <c r="H15" s="25">
        <f>H6*Supuestos!$B$15</f>
        <v/>
      </c>
      <c r="I15" s="25">
        <f>I6*Supuestos!$B$15</f>
        <v/>
      </c>
      <c r="J15" s="25">
        <f>J6*Supuestos!$B$15</f>
        <v/>
      </c>
      <c r="K15" s="25">
        <f>K6*Supuestos!$B$15</f>
        <v/>
      </c>
      <c r="L15" s="25">
        <f>L6*Supuestos!$B$15</f>
        <v/>
      </c>
      <c r="M15" s="25">
        <f>M6*Supuestos!$B$15</f>
        <v/>
      </c>
      <c r="N15" s="25">
        <f>N6*Supuestos!$B$15</f>
        <v/>
      </c>
      <c r="O15" s="25">
        <f>O6*Supuestos!$B$15</f>
        <v/>
      </c>
      <c r="P15" s="25">
        <f>P6*Supuestos!$B$15</f>
        <v/>
      </c>
      <c r="Q15" s="25">
        <f>Q6*Supuestos!$B$15</f>
        <v/>
      </c>
      <c r="R15" s="25">
        <f>R6*Supuestos!$B$15</f>
        <v/>
      </c>
      <c r="S15" s="25">
        <f>S6*Supuestos!$B$15</f>
        <v/>
      </c>
      <c r="T15" s="25">
        <f>T6*Supuestos!$B$15</f>
        <v/>
      </c>
      <c r="U15" s="25">
        <f>U6*Supuestos!$B$15</f>
        <v/>
      </c>
      <c r="V15" s="25">
        <f>V6*Supuestos!$B$15</f>
        <v/>
      </c>
      <c r="W15" s="25">
        <f>W6*Supuestos!$B$15</f>
        <v/>
      </c>
      <c r="X15" s="25">
        <f>X6*Supuestos!$B$15</f>
        <v/>
      </c>
      <c r="Y15" s="25">
        <f>Y6*Supuestos!$B$15</f>
        <v/>
      </c>
      <c r="Z15" s="24">
        <f>SUM(B15:Y15)</f>
        <v/>
      </c>
    </row>
    <row r="16">
      <c r="A16" s="19" t="inlineStr">
        <is>
          <t>Administración y gerencia</t>
        </is>
      </c>
      <c r="B16" s="25">
        <f>Supuestos!$B$16</f>
        <v/>
      </c>
      <c r="C16" s="25">
        <f>Supuestos!$B$16</f>
        <v/>
      </c>
      <c r="D16" s="25">
        <f>Supuestos!$B$16</f>
        <v/>
      </c>
      <c r="E16" s="25">
        <f>Supuestos!$B$16</f>
        <v/>
      </c>
      <c r="F16" s="25">
        <f>Supuestos!$B$16</f>
        <v/>
      </c>
      <c r="G16" s="25">
        <f>Supuestos!$B$16</f>
        <v/>
      </c>
      <c r="H16" s="25">
        <f>Supuestos!$B$16</f>
        <v/>
      </c>
      <c r="I16" s="25">
        <f>Supuestos!$B$16</f>
        <v/>
      </c>
      <c r="J16" s="25">
        <f>Supuestos!$B$16</f>
        <v/>
      </c>
      <c r="K16" s="25">
        <f>Supuestos!$B$16</f>
        <v/>
      </c>
      <c r="L16" s="25">
        <f>Supuestos!$B$16</f>
        <v/>
      </c>
      <c r="M16" s="25">
        <f>Supuestos!$B$16</f>
        <v/>
      </c>
      <c r="N16" s="25">
        <f>Supuestos!$B$16</f>
        <v/>
      </c>
      <c r="O16" s="25">
        <f>Supuestos!$B$16</f>
        <v/>
      </c>
      <c r="P16" s="25">
        <f>Supuestos!$B$16</f>
        <v/>
      </c>
      <c r="Q16" s="25">
        <f>Supuestos!$B$16</f>
        <v/>
      </c>
      <c r="R16" s="25">
        <f>Supuestos!$B$16</f>
        <v/>
      </c>
      <c r="S16" s="25">
        <f>Supuestos!$B$16</f>
        <v/>
      </c>
      <c r="T16" s="25">
        <f>Supuestos!$B$16</f>
        <v/>
      </c>
      <c r="U16" s="25">
        <f>Supuestos!$B$16</f>
        <v/>
      </c>
      <c r="V16" s="25">
        <f>Supuestos!$B$16</f>
        <v/>
      </c>
      <c r="W16" s="25">
        <f>Supuestos!$B$16</f>
        <v/>
      </c>
      <c r="X16" s="25">
        <f>Supuestos!$B$16</f>
        <v/>
      </c>
      <c r="Y16" s="25">
        <f>Supuestos!$B$16</f>
        <v/>
      </c>
      <c r="Z16" s="24">
        <f>SUM(B16:Y16)</f>
        <v/>
      </c>
    </row>
    <row r="17">
      <c r="A17" s="19" t="inlineStr">
        <is>
          <t>Arranque único + stock inicial de gasoil</t>
        </is>
      </c>
      <c r="B17" s="25">
        <f>Supuestos!$B$17+Supuestos!$B$18</f>
        <v/>
      </c>
      <c r="C17" s="25">
        <f>0</f>
        <v/>
      </c>
      <c r="D17" s="25">
        <f>0</f>
        <v/>
      </c>
      <c r="E17" s="25">
        <f>0</f>
        <v/>
      </c>
      <c r="F17" s="25">
        <f>0</f>
        <v/>
      </c>
      <c r="G17" s="25">
        <f>0</f>
        <v/>
      </c>
      <c r="H17" s="25">
        <f>0</f>
        <v/>
      </c>
      <c r="I17" s="25">
        <f>0</f>
        <v/>
      </c>
      <c r="J17" s="25">
        <f>0</f>
        <v/>
      </c>
      <c r="K17" s="25">
        <f>0</f>
        <v/>
      </c>
      <c r="L17" s="25">
        <f>0</f>
        <v/>
      </c>
      <c r="M17" s="25">
        <f>0</f>
        <v/>
      </c>
      <c r="N17" s="25">
        <f>0</f>
        <v/>
      </c>
      <c r="O17" s="25">
        <f>0</f>
        <v/>
      </c>
      <c r="P17" s="25">
        <f>0</f>
        <v/>
      </c>
      <c r="Q17" s="25">
        <f>0</f>
        <v/>
      </c>
      <c r="R17" s="25">
        <f>0</f>
        <v/>
      </c>
      <c r="S17" s="25">
        <f>0</f>
        <v/>
      </c>
      <c r="T17" s="25">
        <f>0</f>
        <v/>
      </c>
      <c r="U17" s="25">
        <f>0</f>
        <v/>
      </c>
      <c r="V17" s="25">
        <f>0</f>
        <v/>
      </c>
      <c r="W17" s="25">
        <f>0</f>
        <v/>
      </c>
      <c r="X17" s="25">
        <f>0</f>
        <v/>
      </c>
      <c r="Y17" s="25">
        <f>0</f>
        <v/>
      </c>
      <c r="Z17" s="24">
        <f>SUM(B17:Y17)</f>
        <v/>
      </c>
    </row>
    <row r="18">
      <c r="A18" s="22" t="inlineStr">
        <is>
          <t>Total pagos</t>
        </is>
      </c>
      <c r="B18" s="23">
        <f>SUM(B11:B17)</f>
        <v/>
      </c>
      <c r="C18" s="23">
        <f>SUM(C11:C17)</f>
        <v/>
      </c>
      <c r="D18" s="23">
        <f>SUM(D11:D17)</f>
        <v/>
      </c>
      <c r="E18" s="23">
        <f>SUM(E11:E17)</f>
        <v/>
      </c>
      <c r="F18" s="23">
        <f>SUM(F11:F17)</f>
        <v/>
      </c>
      <c r="G18" s="23">
        <f>SUM(G11:G17)</f>
        <v/>
      </c>
      <c r="H18" s="23">
        <f>SUM(H11:H17)</f>
        <v/>
      </c>
      <c r="I18" s="23">
        <f>SUM(I11:I17)</f>
        <v/>
      </c>
      <c r="J18" s="23">
        <f>SUM(J11:J17)</f>
        <v/>
      </c>
      <c r="K18" s="23">
        <f>SUM(K11:K17)</f>
        <v/>
      </c>
      <c r="L18" s="23">
        <f>SUM(L11:L17)</f>
        <v/>
      </c>
      <c r="M18" s="23">
        <f>SUM(M11:M17)</f>
        <v/>
      </c>
      <c r="N18" s="23">
        <f>SUM(N11:N17)</f>
        <v/>
      </c>
      <c r="O18" s="23">
        <f>SUM(O11:O17)</f>
        <v/>
      </c>
      <c r="P18" s="23">
        <f>SUM(P11:P17)</f>
        <v/>
      </c>
      <c r="Q18" s="23">
        <f>SUM(Q11:Q17)</f>
        <v/>
      </c>
      <c r="R18" s="23">
        <f>SUM(R11:R17)</f>
        <v/>
      </c>
      <c r="S18" s="23">
        <f>SUM(S11:S17)</f>
        <v/>
      </c>
      <c r="T18" s="23">
        <f>SUM(T11:T17)</f>
        <v/>
      </c>
      <c r="U18" s="23">
        <f>SUM(U11:U17)</f>
        <v/>
      </c>
      <c r="V18" s="23">
        <f>SUM(V11:V17)</f>
        <v/>
      </c>
      <c r="W18" s="23">
        <f>SUM(W11:W17)</f>
        <v/>
      </c>
      <c r="X18" s="23">
        <f>SUM(X11:X17)</f>
        <v/>
      </c>
      <c r="Y18" s="23">
        <f>SUM(Y11:Y17)</f>
        <v/>
      </c>
      <c r="Z18" s="24">
        <f>SUM(B18:Y18)</f>
        <v/>
      </c>
    </row>
    <row r="19">
      <c r="A19" s="6" t="inlineStr">
        <is>
          <t>FLUJO DE LA OPERACIÓN</t>
        </is>
      </c>
    </row>
    <row r="20">
      <c r="A20" s="22" t="inlineStr">
        <is>
          <t>Flujo operativo (cobros − pagos)</t>
        </is>
      </c>
      <c r="B20" s="23">
        <f>B9-B18</f>
        <v/>
      </c>
      <c r="C20" s="23">
        <f>C9-C18</f>
        <v/>
      </c>
      <c r="D20" s="23">
        <f>D9-D18</f>
        <v/>
      </c>
      <c r="E20" s="23">
        <f>E9-E18</f>
        <v/>
      </c>
      <c r="F20" s="23">
        <f>F9-F18</f>
        <v/>
      </c>
      <c r="G20" s="23">
        <f>G9-G18</f>
        <v/>
      </c>
      <c r="H20" s="23">
        <f>H9-H18</f>
        <v/>
      </c>
      <c r="I20" s="23">
        <f>I9-I18</f>
        <v/>
      </c>
      <c r="J20" s="23">
        <f>J9-J18</f>
        <v/>
      </c>
      <c r="K20" s="23">
        <f>K9-K18</f>
        <v/>
      </c>
      <c r="L20" s="23">
        <f>L9-L18</f>
        <v/>
      </c>
      <c r="M20" s="23">
        <f>M9-M18</f>
        <v/>
      </c>
      <c r="N20" s="23">
        <f>N9-N18</f>
        <v/>
      </c>
      <c r="O20" s="23">
        <f>O9-O18</f>
        <v/>
      </c>
      <c r="P20" s="23">
        <f>P9-P18</f>
        <v/>
      </c>
      <c r="Q20" s="23">
        <f>Q9-Q18</f>
        <v/>
      </c>
      <c r="R20" s="23">
        <f>R9-R18</f>
        <v/>
      </c>
      <c r="S20" s="23">
        <f>S9-S18</f>
        <v/>
      </c>
      <c r="T20" s="23">
        <f>T9-T18</f>
        <v/>
      </c>
      <c r="U20" s="23">
        <f>U9-U18</f>
        <v/>
      </c>
      <c r="V20" s="23">
        <f>V9-V18</f>
        <v/>
      </c>
      <c r="W20" s="23">
        <f>W9-W18</f>
        <v/>
      </c>
      <c r="X20" s="23">
        <f>X9-X18</f>
        <v/>
      </c>
      <c r="Y20" s="23">
        <f>Y9-Y18</f>
        <v/>
      </c>
      <c r="Z20" s="24">
        <f>SUM(B20:Y20)</f>
        <v/>
      </c>
    </row>
    <row r="21">
      <c r="A21" s="19" t="inlineStr">
        <is>
          <t>Flujo operativo acumulado (sin préstamo)</t>
        </is>
      </c>
      <c r="B21" s="25">
        <f>SUM($B$20:B$20)</f>
        <v/>
      </c>
      <c r="C21" s="25">
        <f>SUM($B$20:C$20)</f>
        <v/>
      </c>
      <c r="D21" s="25">
        <f>SUM($B$20:D$20)</f>
        <v/>
      </c>
      <c r="E21" s="25">
        <f>SUM($B$20:E$20)</f>
        <v/>
      </c>
      <c r="F21" s="25">
        <f>SUM($B$20:F$20)</f>
        <v/>
      </c>
      <c r="G21" s="25">
        <f>SUM($B$20:G$20)</f>
        <v/>
      </c>
      <c r="H21" s="25">
        <f>SUM($B$20:H$20)</f>
        <v/>
      </c>
      <c r="I21" s="25">
        <f>SUM($B$20:I$20)</f>
        <v/>
      </c>
      <c r="J21" s="25">
        <f>SUM($B$20:J$20)</f>
        <v/>
      </c>
      <c r="K21" s="25">
        <f>SUM($B$20:K$20)</f>
        <v/>
      </c>
      <c r="L21" s="25">
        <f>SUM($B$20:L$20)</f>
        <v/>
      </c>
      <c r="M21" s="25">
        <f>SUM($B$20:M$20)</f>
        <v/>
      </c>
      <c r="N21" s="25">
        <f>SUM($B$20:N$20)</f>
        <v/>
      </c>
      <c r="O21" s="25">
        <f>SUM($B$20:O$20)</f>
        <v/>
      </c>
      <c r="P21" s="25">
        <f>SUM($B$20:P$20)</f>
        <v/>
      </c>
      <c r="Q21" s="25">
        <f>SUM($B$20:Q$20)</f>
        <v/>
      </c>
      <c r="R21" s="25">
        <f>SUM($B$20:R$20)</f>
        <v/>
      </c>
      <c r="S21" s="25">
        <f>SUM($B$20:S$20)</f>
        <v/>
      </c>
      <c r="T21" s="25">
        <f>SUM($B$20:T$20)</f>
        <v/>
      </c>
      <c r="U21" s="25">
        <f>SUM($B$20:U$20)</f>
        <v/>
      </c>
      <c r="V21" s="25">
        <f>SUM($B$20:V$20)</f>
        <v/>
      </c>
      <c r="W21" s="25">
        <f>SUM($B$20:W$20)</f>
        <v/>
      </c>
      <c r="X21" s="25">
        <f>SUM($B$20:X$20)</f>
        <v/>
      </c>
      <c r="Y21" s="25">
        <f>SUM($B$20:Y$20)</f>
        <v/>
      </c>
    </row>
    <row r="22">
      <c r="A22" s="22" t="inlineStr">
        <is>
          <t>EBITDA (ventas − costo directo − administración − arranque)</t>
        </is>
      </c>
      <c r="B22" s="23">
        <f>B7-B11-B12-B13-B14-B15-B16-Supuestos!$B$17</f>
        <v/>
      </c>
      <c r="C22" s="23">
        <f>C7-C11-C12-C13-C14-C15-C16</f>
        <v/>
      </c>
      <c r="D22" s="23">
        <f>D7-D11-D12-D13-D14-D15-D16</f>
        <v/>
      </c>
      <c r="E22" s="23">
        <f>E7-E11-E12-E13-E14-E15-E16</f>
        <v/>
      </c>
      <c r="F22" s="23">
        <f>F7-F11-F12-F13-F14-F15-F16</f>
        <v/>
      </c>
      <c r="G22" s="23">
        <f>G7-G11-G12-G13-G14-G15-G16</f>
        <v/>
      </c>
      <c r="H22" s="23">
        <f>H7-H11-H12-H13-H14-H15-H16</f>
        <v/>
      </c>
      <c r="I22" s="23">
        <f>I7-I11-I12-I13-I14-I15-I16</f>
        <v/>
      </c>
      <c r="J22" s="23">
        <f>J7-J11-J12-J13-J14-J15-J16</f>
        <v/>
      </c>
      <c r="K22" s="23">
        <f>K7-K11-K12-K13-K14-K15-K16</f>
        <v/>
      </c>
      <c r="L22" s="23">
        <f>L7-L11-L12-L13-L14-L15-L16</f>
        <v/>
      </c>
      <c r="M22" s="23">
        <f>M7-M11-M12-M13-M14-M15-M16</f>
        <v/>
      </c>
      <c r="N22" s="23">
        <f>N7-N11-N12-N13-N14-N15-N16</f>
        <v/>
      </c>
      <c r="O22" s="23">
        <f>O7-O11-O12-O13-O14-O15-O16</f>
        <v/>
      </c>
      <c r="P22" s="23">
        <f>P7-P11-P12-P13-P14-P15-P16</f>
        <v/>
      </c>
      <c r="Q22" s="23">
        <f>Q7-Q11-Q12-Q13-Q14-Q15-Q16</f>
        <v/>
      </c>
      <c r="R22" s="23">
        <f>R7-R11-R12-R13-R14-R15-R16</f>
        <v/>
      </c>
      <c r="S22" s="23">
        <f>S7-S11-S12-S13-S14-S15-S16</f>
        <v/>
      </c>
      <c r="T22" s="23">
        <f>T7-T11-T12-T13-T14-T15-T16</f>
        <v/>
      </c>
      <c r="U22" s="23">
        <f>U7-U11-U12-U13-U14-U15-U16</f>
        <v/>
      </c>
      <c r="V22" s="23">
        <f>V7-V11-V12-V13-V14-V15-V16</f>
        <v/>
      </c>
      <c r="W22" s="23">
        <f>W7-W11-W12-W13-W14-W15-W16</f>
        <v/>
      </c>
      <c r="X22" s="23">
        <f>X7-X11-X12-X13-X14-X15-X16</f>
        <v/>
      </c>
      <c r="Y22" s="23">
        <f>Y7-Y11-Y12-Y13-Y14-Y15-Y16</f>
        <v/>
      </c>
      <c r="Z22" s="24">
        <f>SUM(B22:Y22)</f>
        <v/>
      </c>
    </row>
    <row r="23">
      <c r="A23" s="6" t="inlineStr">
        <is>
          <t>DEUDA</t>
        </is>
      </c>
    </row>
    <row r="24">
      <c r="A24" s="19" t="inlineStr">
        <is>
          <t>Desembolso del préstamo</t>
        </is>
      </c>
      <c r="B24" s="25">
        <f>Supuestos!$B$23</f>
        <v/>
      </c>
      <c r="C24" s="25">
        <f>0</f>
        <v/>
      </c>
      <c r="D24" s="25">
        <f>0</f>
        <v/>
      </c>
      <c r="E24" s="25">
        <f>0</f>
        <v/>
      </c>
      <c r="F24" s="25">
        <f>0</f>
        <v/>
      </c>
      <c r="G24" s="25">
        <f>0</f>
        <v/>
      </c>
      <c r="H24" s="25">
        <f>0</f>
        <v/>
      </c>
      <c r="I24" s="25">
        <f>0</f>
        <v/>
      </c>
      <c r="J24" s="25">
        <f>0</f>
        <v/>
      </c>
      <c r="K24" s="25">
        <f>0</f>
        <v/>
      </c>
      <c r="L24" s="25">
        <f>0</f>
        <v/>
      </c>
      <c r="M24" s="25">
        <f>0</f>
        <v/>
      </c>
      <c r="N24" s="25">
        <f>0</f>
        <v/>
      </c>
      <c r="O24" s="25">
        <f>0</f>
        <v/>
      </c>
      <c r="P24" s="25">
        <f>0</f>
        <v/>
      </c>
      <c r="Q24" s="25">
        <f>0</f>
        <v/>
      </c>
      <c r="R24" s="25">
        <f>0</f>
        <v/>
      </c>
      <c r="S24" s="25">
        <f>0</f>
        <v/>
      </c>
      <c r="T24" s="25">
        <f>0</f>
        <v/>
      </c>
      <c r="U24" s="25">
        <f>0</f>
        <v/>
      </c>
      <c r="V24" s="25">
        <f>0</f>
        <v/>
      </c>
      <c r="W24" s="25">
        <f>0</f>
        <v/>
      </c>
      <c r="X24" s="25">
        <f>0</f>
        <v/>
      </c>
      <c r="Y24" s="25">
        <f>0</f>
        <v/>
      </c>
      <c r="Z24" s="24">
        <f>SUM(B24:Y24)</f>
        <v/>
      </c>
    </row>
    <row r="25">
      <c r="A25" s="19" t="inlineStr">
        <is>
          <t>Saldo inicial</t>
        </is>
      </c>
      <c r="B25" s="25">
        <f>B24</f>
        <v/>
      </c>
      <c r="C25" s="25">
        <f>B29+C24</f>
        <v/>
      </c>
      <c r="D25" s="25">
        <f>C29+D24</f>
        <v/>
      </c>
      <c r="E25" s="25">
        <f>D29+E24</f>
        <v/>
      </c>
      <c r="F25" s="25">
        <f>E29+F24</f>
        <v/>
      </c>
      <c r="G25" s="25">
        <f>F29+G24</f>
        <v/>
      </c>
      <c r="H25" s="25">
        <f>G29+H24</f>
        <v/>
      </c>
      <c r="I25" s="25">
        <f>H29+I24</f>
        <v/>
      </c>
      <c r="J25" s="25">
        <f>I29+J24</f>
        <v/>
      </c>
      <c r="K25" s="25">
        <f>J29+K24</f>
        <v/>
      </c>
      <c r="L25" s="25">
        <f>K29+L24</f>
        <v/>
      </c>
      <c r="M25" s="25">
        <f>L29+M24</f>
        <v/>
      </c>
      <c r="N25" s="25">
        <f>M29+N24</f>
        <v/>
      </c>
      <c r="O25" s="25">
        <f>N29+O24</f>
        <v/>
      </c>
      <c r="P25" s="25">
        <f>O29+P24</f>
        <v/>
      </c>
      <c r="Q25" s="25">
        <f>P29+Q24</f>
        <v/>
      </c>
      <c r="R25" s="25">
        <f>Q29+R24</f>
        <v/>
      </c>
      <c r="S25" s="25">
        <f>R29+S24</f>
        <v/>
      </c>
      <c r="T25" s="25">
        <f>S29+T24</f>
        <v/>
      </c>
      <c r="U25" s="25">
        <f>T29+U24</f>
        <v/>
      </c>
      <c r="V25" s="25">
        <f>U29+V24</f>
        <v/>
      </c>
      <c r="W25" s="25">
        <f>V29+W24</f>
        <v/>
      </c>
      <c r="X25" s="25">
        <f>W29+X24</f>
        <v/>
      </c>
      <c r="Y25" s="25">
        <f>X29+Y24</f>
        <v/>
      </c>
    </row>
    <row r="26">
      <c r="A26" s="19" t="inlineStr">
        <is>
          <t>Interés del mes</t>
        </is>
      </c>
      <c r="B26" s="25">
        <f>B25*Supuestos!$B$24/12</f>
        <v/>
      </c>
      <c r="C26" s="25">
        <f>C25*Supuestos!$B$24/12</f>
        <v/>
      </c>
      <c r="D26" s="25">
        <f>D25*Supuestos!$B$24/12</f>
        <v/>
      </c>
      <c r="E26" s="25">
        <f>E25*Supuestos!$B$24/12</f>
        <v/>
      </c>
      <c r="F26" s="25">
        <f>F25*Supuestos!$B$24/12</f>
        <v/>
      </c>
      <c r="G26" s="25">
        <f>G25*Supuestos!$B$24/12</f>
        <v/>
      </c>
      <c r="H26" s="25">
        <f>H25*Supuestos!$B$24/12</f>
        <v/>
      </c>
      <c r="I26" s="25">
        <f>I25*Supuestos!$B$24/12</f>
        <v/>
      </c>
      <c r="J26" s="25">
        <f>J25*Supuestos!$B$24/12</f>
        <v/>
      </c>
      <c r="K26" s="25">
        <f>K25*Supuestos!$B$24/12</f>
        <v/>
      </c>
      <c r="L26" s="25">
        <f>L25*Supuestos!$B$24/12</f>
        <v/>
      </c>
      <c r="M26" s="25">
        <f>M25*Supuestos!$B$24/12</f>
        <v/>
      </c>
      <c r="N26" s="25">
        <f>N25*Supuestos!$B$24/12</f>
        <v/>
      </c>
      <c r="O26" s="25">
        <f>O25*Supuestos!$B$24/12</f>
        <v/>
      </c>
      <c r="P26" s="25">
        <f>P25*Supuestos!$B$24/12</f>
        <v/>
      </c>
      <c r="Q26" s="25">
        <f>Q25*Supuestos!$B$24/12</f>
        <v/>
      </c>
      <c r="R26" s="25">
        <f>R25*Supuestos!$B$24/12</f>
        <v/>
      </c>
      <c r="S26" s="25">
        <f>S25*Supuestos!$B$24/12</f>
        <v/>
      </c>
      <c r="T26" s="25">
        <f>T25*Supuestos!$B$24/12</f>
        <v/>
      </c>
      <c r="U26" s="25">
        <f>U25*Supuestos!$B$24/12</f>
        <v/>
      </c>
      <c r="V26" s="25">
        <f>V25*Supuestos!$B$24/12</f>
        <v/>
      </c>
      <c r="W26" s="25">
        <f>W25*Supuestos!$B$24/12</f>
        <v/>
      </c>
      <c r="X26" s="25">
        <f>X25*Supuestos!$B$24/12</f>
        <v/>
      </c>
      <c r="Y26" s="25">
        <f>Y25*Supuestos!$B$24/12</f>
        <v/>
      </c>
      <c r="Z26" s="24">
        <f>SUM(B26:Y26)</f>
        <v/>
      </c>
    </row>
    <row r="27">
      <c r="A27" s="19" t="inlineStr">
        <is>
          <t>Amortización de capital</t>
        </is>
      </c>
      <c r="B27" s="25">
        <f>IF(1&lt;=Supuestos!$B$25,Supuestos!$B$23/Supuestos!$B$25,0)</f>
        <v/>
      </c>
      <c r="C27" s="25">
        <f>IF(2&lt;=Supuestos!$B$25,Supuestos!$B$23/Supuestos!$B$25,0)</f>
        <v/>
      </c>
      <c r="D27" s="25">
        <f>IF(3&lt;=Supuestos!$B$25,Supuestos!$B$23/Supuestos!$B$25,0)</f>
        <v/>
      </c>
      <c r="E27" s="25">
        <f>IF(4&lt;=Supuestos!$B$25,Supuestos!$B$23/Supuestos!$B$25,0)</f>
        <v/>
      </c>
      <c r="F27" s="25">
        <f>IF(5&lt;=Supuestos!$B$25,Supuestos!$B$23/Supuestos!$B$25,0)</f>
        <v/>
      </c>
      <c r="G27" s="25">
        <f>IF(6&lt;=Supuestos!$B$25,Supuestos!$B$23/Supuestos!$B$25,0)</f>
        <v/>
      </c>
      <c r="H27" s="25">
        <f>IF(7&lt;=Supuestos!$B$25,Supuestos!$B$23/Supuestos!$B$25,0)</f>
        <v/>
      </c>
      <c r="I27" s="25">
        <f>IF(8&lt;=Supuestos!$B$25,Supuestos!$B$23/Supuestos!$B$25,0)</f>
        <v/>
      </c>
      <c r="J27" s="25">
        <f>IF(9&lt;=Supuestos!$B$25,Supuestos!$B$23/Supuestos!$B$25,0)</f>
        <v/>
      </c>
      <c r="K27" s="25">
        <f>IF(10&lt;=Supuestos!$B$25,Supuestos!$B$23/Supuestos!$B$25,0)</f>
        <v/>
      </c>
      <c r="L27" s="25">
        <f>IF(11&lt;=Supuestos!$B$25,Supuestos!$B$23/Supuestos!$B$25,0)</f>
        <v/>
      </c>
      <c r="M27" s="25">
        <f>IF(12&lt;=Supuestos!$B$25,Supuestos!$B$23/Supuestos!$B$25,0)</f>
        <v/>
      </c>
      <c r="N27" s="25">
        <f>IF(13&lt;=Supuestos!$B$25,Supuestos!$B$23/Supuestos!$B$25,0)</f>
        <v/>
      </c>
      <c r="O27" s="25">
        <f>IF(14&lt;=Supuestos!$B$25,Supuestos!$B$23/Supuestos!$B$25,0)</f>
        <v/>
      </c>
      <c r="P27" s="25">
        <f>IF(15&lt;=Supuestos!$B$25,Supuestos!$B$23/Supuestos!$B$25,0)</f>
        <v/>
      </c>
      <c r="Q27" s="25">
        <f>IF(16&lt;=Supuestos!$B$25,Supuestos!$B$23/Supuestos!$B$25,0)</f>
        <v/>
      </c>
      <c r="R27" s="25">
        <f>IF(17&lt;=Supuestos!$B$25,Supuestos!$B$23/Supuestos!$B$25,0)</f>
        <v/>
      </c>
      <c r="S27" s="25">
        <f>IF(18&lt;=Supuestos!$B$25,Supuestos!$B$23/Supuestos!$B$25,0)</f>
        <v/>
      </c>
      <c r="T27" s="25">
        <f>IF(19&lt;=Supuestos!$B$25,Supuestos!$B$23/Supuestos!$B$25,0)</f>
        <v/>
      </c>
      <c r="U27" s="25">
        <f>IF(20&lt;=Supuestos!$B$25,Supuestos!$B$23/Supuestos!$B$25,0)</f>
        <v/>
      </c>
      <c r="V27" s="25">
        <f>IF(21&lt;=Supuestos!$B$25,Supuestos!$B$23/Supuestos!$B$25,0)</f>
        <v/>
      </c>
      <c r="W27" s="25">
        <f>IF(22&lt;=Supuestos!$B$25,Supuestos!$B$23/Supuestos!$B$25,0)</f>
        <v/>
      </c>
      <c r="X27" s="25">
        <f>IF(23&lt;=Supuestos!$B$25,Supuestos!$B$23/Supuestos!$B$25,0)</f>
        <v/>
      </c>
      <c r="Y27" s="25">
        <f>IF(24&lt;=Supuestos!$B$25,Supuestos!$B$23/Supuestos!$B$25,0)</f>
        <v/>
      </c>
      <c r="Z27" s="24">
        <f>SUM(B27:Y27)</f>
        <v/>
      </c>
    </row>
    <row r="28">
      <c r="A28" s="22" t="inlineStr">
        <is>
          <t>Servicio de deuda (interés + capital)</t>
        </is>
      </c>
      <c r="B28" s="23">
        <f>B26+B27</f>
        <v/>
      </c>
      <c r="C28" s="23">
        <f>C26+C27</f>
        <v/>
      </c>
      <c r="D28" s="23">
        <f>D26+D27</f>
        <v/>
      </c>
      <c r="E28" s="23">
        <f>E26+E27</f>
        <v/>
      </c>
      <c r="F28" s="23">
        <f>F26+F27</f>
        <v/>
      </c>
      <c r="G28" s="23">
        <f>G26+G27</f>
        <v/>
      </c>
      <c r="H28" s="23">
        <f>H26+H27</f>
        <v/>
      </c>
      <c r="I28" s="23">
        <f>I26+I27</f>
        <v/>
      </c>
      <c r="J28" s="23">
        <f>J26+J27</f>
        <v/>
      </c>
      <c r="K28" s="23">
        <f>K26+K27</f>
        <v/>
      </c>
      <c r="L28" s="23">
        <f>L26+L27</f>
        <v/>
      </c>
      <c r="M28" s="23">
        <f>M26+M27</f>
        <v/>
      </c>
      <c r="N28" s="23">
        <f>N26+N27</f>
        <v/>
      </c>
      <c r="O28" s="23">
        <f>O26+O27</f>
        <v/>
      </c>
      <c r="P28" s="23">
        <f>P26+P27</f>
        <v/>
      </c>
      <c r="Q28" s="23">
        <f>Q26+Q27</f>
        <v/>
      </c>
      <c r="R28" s="23">
        <f>R26+R27</f>
        <v/>
      </c>
      <c r="S28" s="23">
        <f>S26+S27</f>
        <v/>
      </c>
      <c r="T28" s="23">
        <f>T26+T27</f>
        <v/>
      </c>
      <c r="U28" s="23">
        <f>U26+U27</f>
        <v/>
      </c>
      <c r="V28" s="23">
        <f>V26+V27</f>
        <v/>
      </c>
      <c r="W28" s="23">
        <f>W26+W27</f>
        <v/>
      </c>
      <c r="X28" s="23">
        <f>X26+X27</f>
        <v/>
      </c>
      <c r="Y28" s="23">
        <f>Y26+Y27</f>
        <v/>
      </c>
      <c r="Z28" s="24">
        <f>SUM(B28:Y28)</f>
        <v/>
      </c>
    </row>
    <row r="29">
      <c r="A29" s="19" t="inlineStr">
        <is>
          <t>Saldo final</t>
        </is>
      </c>
      <c r="B29" s="25">
        <f>B25-B27</f>
        <v/>
      </c>
      <c r="C29" s="25">
        <f>C25-C27</f>
        <v/>
      </c>
      <c r="D29" s="25">
        <f>D25-D27</f>
        <v/>
      </c>
      <c r="E29" s="25">
        <f>E25-E27</f>
        <v/>
      </c>
      <c r="F29" s="25">
        <f>F25-F27</f>
        <v/>
      </c>
      <c r="G29" s="25">
        <f>G25-G27</f>
        <v/>
      </c>
      <c r="H29" s="25">
        <f>H25-H27</f>
        <v/>
      </c>
      <c r="I29" s="25">
        <f>I25-I27</f>
        <v/>
      </c>
      <c r="J29" s="25">
        <f>J25-J27</f>
        <v/>
      </c>
      <c r="K29" s="25">
        <f>K25-K27</f>
        <v/>
      </c>
      <c r="L29" s="25">
        <f>L25-L27</f>
        <v/>
      </c>
      <c r="M29" s="25">
        <f>M25-M27</f>
        <v/>
      </c>
      <c r="N29" s="25">
        <f>N25-N27</f>
        <v/>
      </c>
      <c r="O29" s="25">
        <f>O25-O27</f>
        <v/>
      </c>
      <c r="P29" s="25">
        <f>P25-P27</f>
        <v/>
      </c>
      <c r="Q29" s="25">
        <f>Q25-Q27</f>
        <v/>
      </c>
      <c r="R29" s="25">
        <f>R25-R27</f>
        <v/>
      </c>
      <c r="S29" s="25">
        <f>S25-S27</f>
        <v/>
      </c>
      <c r="T29" s="25">
        <f>T25-T27</f>
        <v/>
      </c>
      <c r="U29" s="25">
        <f>U25-U27</f>
        <v/>
      </c>
      <c r="V29" s="25">
        <f>V25-V27</f>
        <v/>
      </c>
      <c r="W29" s="25">
        <f>W25-W27</f>
        <v/>
      </c>
      <c r="X29" s="25">
        <f>X25-X27</f>
        <v/>
      </c>
      <c r="Y29" s="25">
        <f>Y25-Y27</f>
        <v/>
      </c>
    </row>
    <row r="30">
      <c r="A30" s="19" t="inlineStr">
        <is>
          <t>Cobertura (flujo operativo ÷ servicio)</t>
        </is>
      </c>
      <c r="B30" s="26">
        <f>IF(B28&gt;0,B20/B28,"")</f>
        <v/>
      </c>
      <c r="C30" s="26">
        <f>IF(C28&gt;0,C20/C28,"")</f>
        <v/>
      </c>
      <c r="D30" s="26">
        <f>IF(D28&gt;0,D20/D28,"")</f>
        <v/>
      </c>
      <c r="E30" s="26">
        <f>IF(E28&gt;0,E20/E28,"")</f>
        <v/>
      </c>
      <c r="F30" s="26">
        <f>IF(F28&gt;0,F20/F28,"")</f>
        <v/>
      </c>
      <c r="G30" s="26">
        <f>IF(G28&gt;0,G20/G28,"")</f>
        <v/>
      </c>
      <c r="H30" s="26">
        <f>IF(H28&gt;0,H20/H28,"")</f>
        <v/>
      </c>
      <c r="I30" s="26">
        <f>IF(I28&gt;0,I20/I28,"")</f>
        <v/>
      </c>
      <c r="J30" s="26">
        <f>IF(J28&gt;0,J20/J28,"")</f>
        <v/>
      </c>
      <c r="K30" s="26">
        <f>IF(K28&gt;0,K20/K28,"")</f>
        <v/>
      </c>
      <c r="L30" s="26">
        <f>IF(L28&gt;0,L20/L28,"")</f>
        <v/>
      </c>
      <c r="M30" s="26">
        <f>IF(M28&gt;0,M20/M28,"")</f>
        <v/>
      </c>
      <c r="N30" s="26">
        <f>IF(N28&gt;0,N20/N28,"")</f>
        <v/>
      </c>
      <c r="O30" s="26">
        <f>IF(O28&gt;0,O20/O28,"")</f>
        <v/>
      </c>
      <c r="P30" s="26">
        <f>IF(P28&gt;0,P20/P28,"")</f>
        <v/>
      </c>
      <c r="Q30" s="26">
        <f>IF(Q28&gt;0,Q20/Q28,"")</f>
        <v/>
      </c>
      <c r="R30" s="26">
        <f>IF(R28&gt;0,R20/R28,"")</f>
        <v/>
      </c>
      <c r="S30" s="26">
        <f>IF(S28&gt;0,S20/S28,"")</f>
        <v/>
      </c>
      <c r="T30" s="26">
        <f>IF(T28&gt;0,T20/T28,"")</f>
        <v/>
      </c>
      <c r="U30" s="26">
        <f>IF(U28&gt;0,U20/U28,"")</f>
        <v/>
      </c>
      <c r="V30" s="26">
        <f>IF(V28&gt;0,V20/V28,"")</f>
        <v/>
      </c>
      <c r="W30" s="26">
        <f>IF(W28&gt;0,W20/W28,"")</f>
        <v/>
      </c>
      <c r="X30" s="26">
        <f>IF(X28&gt;0,X20/X28,"")</f>
        <v/>
      </c>
      <c r="Y30" s="26">
        <f>IF(Y28&gt;0,Y20/Y28,"")</f>
        <v/>
      </c>
    </row>
    <row r="31">
      <c r="A31" s="19" t="inlineStr">
        <is>
          <t>Mes de recuperación (auxiliar)</t>
        </is>
      </c>
      <c r="B31" s="27">
        <f>IF(B21&gt;0,1,999)</f>
        <v/>
      </c>
      <c r="C31" s="27">
        <f>IF(C21&gt;0,2,999)</f>
        <v/>
      </c>
      <c r="D31" s="27">
        <f>IF(D21&gt;0,3,999)</f>
        <v/>
      </c>
      <c r="E31" s="27">
        <f>IF(E21&gt;0,4,999)</f>
        <v/>
      </c>
      <c r="F31" s="27">
        <f>IF(F21&gt;0,5,999)</f>
        <v/>
      </c>
      <c r="G31" s="27">
        <f>IF(G21&gt;0,6,999)</f>
        <v/>
      </c>
      <c r="H31" s="27">
        <f>IF(H21&gt;0,7,999)</f>
        <v/>
      </c>
      <c r="I31" s="27">
        <f>IF(I21&gt;0,8,999)</f>
        <v/>
      </c>
      <c r="J31" s="27">
        <f>IF(J21&gt;0,9,999)</f>
        <v/>
      </c>
      <c r="K31" s="27">
        <f>IF(K21&gt;0,10,999)</f>
        <v/>
      </c>
      <c r="L31" s="27">
        <f>IF(L21&gt;0,11,999)</f>
        <v/>
      </c>
      <c r="M31" s="27">
        <f>IF(M21&gt;0,12,999)</f>
        <v/>
      </c>
      <c r="N31" s="27">
        <f>IF(N21&gt;0,13,999)</f>
        <v/>
      </c>
      <c r="O31" s="27">
        <f>IF(O21&gt;0,14,999)</f>
        <v/>
      </c>
      <c r="P31" s="27">
        <f>IF(P21&gt;0,15,999)</f>
        <v/>
      </c>
      <c r="Q31" s="27">
        <f>IF(Q21&gt;0,16,999)</f>
        <v/>
      </c>
      <c r="R31" s="27">
        <f>IF(R21&gt;0,17,999)</f>
        <v/>
      </c>
      <c r="S31" s="27">
        <f>IF(S21&gt;0,18,999)</f>
        <v/>
      </c>
      <c r="T31" s="27">
        <f>IF(T21&gt;0,19,999)</f>
        <v/>
      </c>
      <c r="U31" s="27">
        <f>IF(U21&gt;0,20,999)</f>
        <v/>
      </c>
      <c r="V31" s="27">
        <f>IF(V21&gt;0,21,999)</f>
        <v/>
      </c>
      <c r="W31" s="27">
        <f>IF(W21&gt;0,22,999)</f>
        <v/>
      </c>
      <c r="X31" s="27">
        <f>IF(X21&gt;0,23,999)</f>
        <v/>
      </c>
      <c r="Y31" s="27">
        <f>IF(Y21&gt;0,24,999)</f>
        <v/>
      </c>
    </row>
    <row r="32">
      <c r="A32" s="6" t="inlineStr">
        <is>
          <t>CAJA</t>
        </is>
      </c>
    </row>
    <row r="33">
      <c r="A33" s="22" t="inlineStr">
        <is>
          <t>Flujo neto del mes (operación + préstamo − servicio)</t>
        </is>
      </c>
      <c r="B33" s="23">
        <f>B20+B24-B28</f>
        <v/>
      </c>
      <c r="C33" s="23">
        <f>C20+C24-C28</f>
        <v/>
      </c>
      <c r="D33" s="23">
        <f>D20+D24-D28</f>
        <v/>
      </c>
      <c r="E33" s="23">
        <f>E20+E24-E28</f>
        <v/>
      </c>
      <c r="F33" s="23">
        <f>F20+F24-F28</f>
        <v/>
      </c>
      <c r="G33" s="23">
        <f>G20+G24-G28</f>
        <v/>
      </c>
      <c r="H33" s="23">
        <f>H20+H24-H28</f>
        <v/>
      </c>
      <c r="I33" s="23">
        <f>I20+I24-I28</f>
        <v/>
      </c>
      <c r="J33" s="23">
        <f>J20+J24-J28</f>
        <v/>
      </c>
      <c r="K33" s="23">
        <f>K20+K24-K28</f>
        <v/>
      </c>
      <c r="L33" s="23">
        <f>L20+L24-L28</f>
        <v/>
      </c>
      <c r="M33" s="23">
        <f>M20+M24-M28</f>
        <v/>
      </c>
      <c r="N33" s="23">
        <f>N20+N24-N28</f>
        <v/>
      </c>
      <c r="O33" s="23">
        <f>O20+O24-O28</f>
        <v/>
      </c>
      <c r="P33" s="23">
        <f>P20+P24-P28</f>
        <v/>
      </c>
      <c r="Q33" s="23">
        <f>Q20+Q24-Q28</f>
        <v/>
      </c>
      <c r="R33" s="23">
        <f>R20+R24-R28</f>
        <v/>
      </c>
      <c r="S33" s="23">
        <f>S20+S24-S28</f>
        <v/>
      </c>
      <c r="T33" s="23">
        <f>T20+T24-T28</f>
        <v/>
      </c>
      <c r="U33" s="23">
        <f>U20+U24-U28</f>
        <v/>
      </c>
      <c r="V33" s="23">
        <f>V20+V24-V28</f>
        <v/>
      </c>
      <c r="W33" s="23">
        <f>W20+W24-W28</f>
        <v/>
      </c>
      <c r="X33" s="23">
        <f>X20+X24-X28</f>
        <v/>
      </c>
      <c r="Y33" s="23">
        <f>Y20+Y24-Y28</f>
        <v/>
      </c>
      <c r="Z33" s="24">
        <f>SUM(B33:Y33)</f>
        <v/>
      </c>
    </row>
    <row r="34">
      <c r="A34" s="22" t="inlineStr">
        <is>
          <t>Caja acumulada</t>
        </is>
      </c>
      <c r="B34" s="23">
        <f>SUM($B$33:B$33)</f>
        <v/>
      </c>
      <c r="C34" s="23">
        <f>SUM($B$33:C$33)</f>
        <v/>
      </c>
      <c r="D34" s="23">
        <f>SUM($B$33:D$33)</f>
        <v/>
      </c>
      <c r="E34" s="23">
        <f>SUM($B$33:E$33)</f>
        <v/>
      </c>
      <c r="F34" s="23">
        <f>SUM($B$33:F$33)</f>
        <v/>
      </c>
      <c r="G34" s="23">
        <f>SUM($B$33:G$33)</f>
        <v/>
      </c>
      <c r="H34" s="23">
        <f>SUM($B$33:H$33)</f>
        <v/>
      </c>
      <c r="I34" s="23">
        <f>SUM($B$33:I$33)</f>
        <v/>
      </c>
      <c r="J34" s="23">
        <f>SUM($B$33:J$33)</f>
        <v/>
      </c>
      <c r="K34" s="23">
        <f>SUM($B$33:K$33)</f>
        <v/>
      </c>
      <c r="L34" s="23">
        <f>SUM($B$33:L$33)</f>
        <v/>
      </c>
      <c r="M34" s="23">
        <f>SUM($B$33:M$33)</f>
        <v/>
      </c>
      <c r="N34" s="23">
        <f>SUM($B$33:N$33)</f>
        <v/>
      </c>
      <c r="O34" s="23">
        <f>SUM($B$33:O$33)</f>
        <v/>
      </c>
      <c r="P34" s="23">
        <f>SUM($B$33:P$33)</f>
        <v/>
      </c>
      <c r="Q34" s="23">
        <f>SUM($B$33:Q$33)</f>
        <v/>
      </c>
      <c r="R34" s="23">
        <f>SUM($B$33:R$33)</f>
        <v/>
      </c>
      <c r="S34" s="23">
        <f>SUM($B$33:S$33)</f>
        <v/>
      </c>
      <c r="T34" s="23">
        <f>SUM($B$33:T$33)</f>
        <v/>
      </c>
      <c r="U34" s="23">
        <f>SUM($B$33:U$33)</f>
        <v/>
      </c>
      <c r="V34" s="23">
        <f>SUM($B$33:V$33)</f>
        <v/>
      </c>
      <c r="W34" s="23">
        <f>SUM($B$33:W$33)</f>
        <v/>
      </c>
      <c r="X34" s="23">
        <f>SUM($B$33:X$33)</f>
        <v/>
      </c>
      <c r="Y34" s="23">
        <f>SUM($B$33:Y$33)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57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  <col width="17" customWidth="1" min="12" max="12"/>
    <col width="17" customWidth="1" min="13" max="13"/>
    <col width="17" customWidth="1" min="14" max="14"/>
  </cols>
  <sheetData>
    <row r="1">
      <c r="A1" s="1" t="inlineStr">
        <is>
          <t>Flujo de caja semanal · 52 semanas · presupuesto de Jorge (escenario medio, con préstamo)</t>
        </is>
      </c>
    </row>
    <row r="3">
      <c r="A3" s="2" t="inlineStr">
        <is>
          <t>Semana</t>
        </is>
      </c>
      <c r="B3" s="2" t="inlineStr">
        <is>
          <t>m³</t>
        </is>
      </c>
      <c r="C3" s="2" t="inlineStr">
        <is>
          <t>Ingresos (cobros)</t>
        </is>
      </c>
      <c r="D3" s="2" t="inlineStr">
        <is>
          <t>Madera en pie</t>
        </is>
      </c>
      <c r="E3" s="2" t="inlineStr">
        <is>
          <t>Tumba, roleo, carga, flete</t>
        </is>
      </c>
      <c r="F3" s="2" t="inlineStr">
        <is>
          <t>Gasoil (stock)</t>
        </is>
      </c>
      <c r="G3" s="2" t="inlineStr">
        <is>
          <t>Nómina</t>
        </is>
      </c>
      <c r="H3" s="2" t="inlineStr">
        <is>
          <t>Otros + admin</t>
        </is>
      </c>
      <c r="I3" s="2" t="inlineStr">
        <is>
          <t>Arranque</t>
        </is>
      </c>
      <c r="J3" s="2" t="inlineStr">
        <is>
          <t>Total egresos</t>
        </is>
      </c>
      <c r="K3" s="2" t="inlineStr">
        <is>
          <t>Cuota préstamo</t>
        </is>
      </c>
      <c r="L3" s="2" t="inlineStr">
        <is>
          <t>Flujo neto</t>
        </is>
      </c>
      <c r="M3" s="2" t="inlineStr">
        <is>
          <t>Caja sin préstamo</t>
        </is>
      </c>
      <c r="N3" s="2" t="inlineStr">
        <is>
          <t>Caja con préstamo</t>
        </is>
      </c>
    </row>
    <row r="4">
      <c r="A4" s="28" t="n">
        <v>1</v>
      </c>
      <c r="B4" s="29" t="n">
        <v>200</v>
      </c>
      <c r="C4" s="29" t="n">
        <v>0</v>
      </c>
      <c r="D4" s="29" t="n">
        <v>9150.32679738562</v>
      </c>
      <c r="E4" s="29" t="n">
        <v>12600</v>
      </c>
      <c r="F4" s="29" t="n">
        <v>9000</v>
      </c>
      <c r="G4" s="29" t="n">
        <v>5000</v>
      </c>
      <c r="H4" s="29" t="n">
        <v>2500</v>
      </c>
      <c r="I4" s="29" t="n">
        <v>8000</v>
      </c>
      <c r="J4" s="29" t="n">
        <v>46250.32679738562</v>
      </c>
      <c r="K4" s="29" t="n">
        <v>0</v>
      </c>
      <c r="L4" s="29" t="n">
        <v>-46250.32679738562</v>
      </c>
      <c r="M4" s="29" t="n">
        <v>-46250.32679738562</v>
      </c>
      <c r="N4" s="29" t="n">
        <v>28749.67320261438</v>
      </c>
    </row>
    <row r="5">
      <c r="A5" s="28" t="n">
        <v>2</v>
      </c>
      <c r="B5" s="29" t="n">
        <v>200</v>
      </c>
      <c r="C5" s="29" t="n">
        <v>52000</v>
      </c>
      <c r="D5" s="29" t="n">
        <v>9150.32679738562</v>
      </c>
      <c r="E5" s="29" t="n">
        <v>12600</v>
      </c>
      <c r="F5" s="29" t="n">
        <v>0</v>
      </c>
      <c r="G5" s="29" t="n">
        <v>5000</v>
      </c>
      <c r="H5" s="29" t="n">
        <v>2500</v>
      </c>
      <c r="I5" s="29" t="n">
        <v>0</v>
      </c>
      <c r="J5" s="29" t="n">
        <v>29250.32679738562</v>
      </c>
      <c r="K5" s="29" t="n">
        <v>0</v>
      </c>
      <c r="L5" s="29" t="n">
        <v>22749.67320261438</v>
      </c>
      <c r="M5" s="29" t="n">
        <v>-23500.65359477124</v>
      </c>
      <c r="N5" s="29" t="n">
        <v>51499.34640522876</v>
      </c>
    </row>
    <row r="6">
      <c r="A6" s="28" t="n">
        <v>3</v>
      </c>
      <c r="B6" s="29" t="n">
        <v>200</v>
      </c>
      <c r="C6" s="29" t="n">
        <v>52000</v>
      </c>
      <c r="D6" s="29" t="n">
        <v>9150.32679738562</v>
      </c>
      <c r="E6" s="29" t="n">
        <v>12600</v>
      </c>
      <c r="F6" s="29" t="n">
        <v>0</v>
      </c>
      <c r="G6" s="29" t="n">
        <v>5000</v>
      </c>
      <c r="H6" s="29" t="n">
        <v>2500</v>
      </c>
      <c r="I6" s="29" t="n">
        <v>0</v>
      </c>
      <c r="J6" s="29" t="n">
        <v>29250.32679738562</v>
      </c>
      <c r="K6" s="29" t="n">
        <v>0</v>
      </c>
      <c r="L6" s="29" t="n">
        <v>22749.67320261438</v>
      </c>
      <c r="M6" s="29" t="n">
        <v>-750.98039215686</v>
      </c>
      <c r="N6" s="29" t="n">
        <v>74249.01960784313</v>
      </c>
    </row>
    <row r="7">
      <c r="A7" s="28" t="n">
        <v>4</v>
      </c>
      <c r="B7" s="29" t="n">
        <v>200</v>
      </c>
      <c r="C7" s="29" t="n">
        <v>52000</v>
      </c>
      <c r="D7" s="29" t="n">
        <v>9150.32679738562</v>
      </c>
      <c r="E7" s="29" t="n">
        <v>12600</v>
      </c>
      <c r="F7" s="29" t="n">
        <v>9000</v>
      </c>
      <c r="G7" s="29" t="n">
        <v>5000</v>
      </c>
      <c r="H7" s="29" t="n">
        <v>2500</v>
      </c>
      <c r="I7" s="29" t="n">
        <v>0</v>
      </c>
      <c r="J7" s="29" t="n">
        <v>38250.32679738562</v>
      </c>
      <c r="K7" s="29" t="n">
        <v>10000</v>
      </c>
      <c r="L7" s="29" t="n">
        <v>3749.67320261438</v>
      </c>
      <c r="M7" s="29" t="n">
        <v>12998.69281045752</v>
      </c>
      <c r="N7" s="29" t="n">
        <v>77998.69281045752</v>
      </c>
    </row>
    <row r="8">
      <c r="A8" s="28" t="n">
        <v>5</v>
      </c>
      <c r="B8" s="29" t="n">
        <v>200</v>
      </c>
      <c r="C8" s="29" t="n">
        <v>52000</v>
      </c>
      <c r="D8" s="29" t="n">
        <v>9150.32679738562</v>
      </c>
      <c r="E8" s="29" t="n">
        <v>12600</v>
      </c>
      <c r="F8" s="29" t="n">
        <v>0</v>
      </c>
      <c r="G8" s="29" t="n">
        <v>5000</v>
      </c>
      <c r="H8" s="29" t="n">
        <v>2500</v>
      </c>
      <c r="I8" s="29" t="n">
        <v>0</v>
      </c>
      <c r="J8" s="29" t="n">
        <v>29250.32679738562</v>
      </c>
      <c r="K8" s="29" t="n">
        <v>0</v>
      </c>
      <c r="L8" s="29" t="n">
        <v>22749.67320261438</v>
      </c>
      <c r="M8" s="29" t="n">
        <v>35748.3660130719</v>
      </c>
      <c r="N8" s="29" t="n">
        <v>100748.3660130719</v>
      </c>
    </row>
    <row r="9">
      <c r="A9" s="28" t="n">
        <v>6</v>
      </c>
      <c r="B9" s="29" t="n">
        <v>200</v>
      </c>
      <c r="C9" s="29" t="n">
        <v>52000</v>
      </c>
      <c r="D9" s="29" t="n">
        <v>9150.32679738562</v>
      </c>
      <c r="E9" s="29" t="n">
        <v>12600</v>
      </c>
      <c r="F9" s="29" t="n">
        <v>0</v>
      </c>
      <c r="G9" s="29" t="n">
        <v>5000</v>
      </c>
      <c r="H9" s="29" t="n">
        <v>2500</v>
      </c>
      <c r="I9" s="29" t="n">
        <v>0</v>
      </c>
      <c r="J9" s="29" t="n">
        <v>29250.32679738562</v>
      </c>
      <c r="K9" s="29" t="n">
        <v>0</v>
      </c>
      <c r="L9" s="29" t="n">
        <v>22749.67320261438</v>
      </c>
      <c r="M9" s="29" t="n">
        <v>58498.03921568628</v>
      </c>
      <c r="N9" s="29" t="n">
        <v>123498.0392156863</v>
      </c>
    </row>
    <row r="10">
      <c r="A10" s="28" t="n">
        <v>7</v>
      </c>
      <c r="B10" s="29" t="n">
        <v>200</v>
      </c>
      <c r="C10" s="29" t="n">
        <v>52000</v>
      </c>
      <c r="D10" s="29" t="n">
        <v>9150.32679738562</v>
      </c>
      <c r="E10" s="29" t="n">
        <v>12600</v>
      </c>
      <c r="F10" s="29" t="n">
        <v>9000</v>
      </c>
      <c r="G10" s="29" t="n">
        <v>5000</v>
      </c>
      <c r="H10" s="29" t="n">
        <v>2500</v>
      </c>
      <c r="I10" s="29" t="n">
        <v>0</v>
      </c>
      <c r="J10" s="29" t="n">
        <v>38250.32679738562</v>
      </c>
      <c r="K10" s="29" t="n">
        <v>0</v>
      </c>
      <c r="L10" s="29" t="n">
        <v>13749.67320261438</v>
      </c>
      <c r="M10" s="29" t="n">
        <v>72247.71241830065</v>
      </c>
      <c r="N10" s="29" t="n">
        <v>137247.7124183007</v>
      </c>
    </row>
    <row r="11">
      <c r="A11" s="28" t="n">
        <v>8</v>
      </c>
      <c r="B11" s="29" t="n">
        <v>200</v>
      </c>
      <c r="C11" s="29" t="n">
        <v>52000</v>
      </c>
      <c r="D11" s="29" t="n">
        <v>9150.32679738562</v>
      </c>
      <c r="E11" s="29" t="n">
        <v>12600</v>
      </c>
      <c r="F11" s="29" t="n">
        <v>0</v>
      </c>
      <c r="G11" s="29" t="n">
        <v>5000</v>
      </c>
      <c r="H11" s="29" t="n">
        <v>2500</v>
      </c>
      <c r="I11" s="29" t="n">
        <v>0</v>
      </c>
      <c r="J11" s="29" t="n">
        <v>29250.32679738562</v>
      </c>
      <c r="K11" s="29" t="n">
        <v>9687.5</v>
      </c>
      <c r="L11" s="29" t="n">
        <v>13062.17320261438</v>
      </c>
      <c r="M11" s="29" t="n">
        <v>94997.38562091504</v>
      </c>
      <c r="N11" s="29" t="n">
        <v>150309.8856209151</v>
      </c>
    </row>
    <row r="12">
      <c r="A12" s="28" t="n">
        <v>9</v>
      </c>
      <c r="B12" s="29" t="n">
        <v>200</v>
      </c>
      <c r="C12" s="29" t="n">
        <v>52000</v>
      </c>
      <c r="D12" s="29" t="n">
        <v>9150.32679738562</v>
      </c>
      <c r="E12" s="29" t="n">
        <v>12600</v>
      </c>
      <c r="F12" s="29" t="n">
        <v>0</v>
      </c>
      <c r="G12" s="29" t="n">
        <v>5000</v>
      </c>
      <c r="H12" s="29" t="n">
        <v>2500</v>
      </c>
      <c r="I12" s="29" t="n">
        <v>0</v>
      </c>
      <c r="J12" s="29" t="n">
        <v>29250.32679738562</v>
      </c>
      <c r="K12" s="29" t="n">
        <v>0</v>
      </c>
      <c r="L12" s="29" t="n">
        <v>22749.67320261438</v>
      </c>
      <c r="M12" s="29" t="n">
        <v>117747.0588235294</v>
      </c>
      <c r="N12" s="29" t="n">
        <v>173059.5588235295</v>
      </c>
    </row>
    <row r="13">
      <c r="A13" s="28" t="n">
        <v>10</v>
      </c>
      <c r="B13" s="29" t="n">
        <v>200</v>
      </c>
      <c r="C13" s="29" t="n">
        <v>52000</v>
      </c>
      <c r="D13" s="29" t="n">
        <v>9150.32679738562</v>
      </c>
      <c r="E13" s="29" t="n">
        <v>12600</v>
      </c>
      <c r="F13" s="29" t="n">
        <v>9000</v>
      </c>
      <c r="G13" s="29" t="n">
        <v>5000</v>
      </c>
      <c r="H13" s="29" t="n">
        <v>2500</v>
      </c>
      <c r="I13" s="29" t="n">
        <v>0</v>
      </c>
      <c r="J13" s="29" t="n">
        <v>38250.32679738562</v>
      </c>
      <c r="K13" s="29" t="n">
        <v>0</v>
      </c>
      <c r="L13" s="29" t="n">
        <v>13749.67320261438</v>
      </c>
      <c r="M13" s="29" t="n">
        <v>131496.7320261438</v>
      </c>
      <c r="N13" s="29" t="n">
        <v>186809.2320261438</v>
      </c>
    </row>
    <row r="14">
      <c r="A14" s="28" t="n">
        <v>11</v>
      </c>
      <c r="B14" s="29" t="n">
        <v>200</v>
      </c>
      <c r="C14" s="29" t="n">
        <v>52000</v>
      </c>
      <c r="D14" s="29" t="n">
        <v>9150.32679738562</v>
      </c>
      <c r="E14" s="29" t="n">
        <v>12600</v>
      </c>
      <c r="F14" s="29" t="n">
        <v>0</v>
      </c>
      <c r="G14" s="29" t="n">
        <v>5000</v>
      </c>
      <c r="H14" s="29" t="n">
        <v>2500</v>
      </c>
      <c r="I14" s="29" t="n">
        <v>0</v>
      </c>
      <c r="J14" s="29" t="n">
        <v>29250.32679738562</v>
      </c>
      <c r="K14" s="29" t="n">
        <v>0</v>
      </c>
      <c r="L14" s="29" t="n">
        <v>22749.67320261438</v>
      </c>
      <c r="M14" s="29" t="n">
        <v>154246.4052287582</v>
      </c>
      <c r="N14" s="29" t="n">
        <v>209558.9052287582</v>
      </c>
    </row>
    <row r="15">
      <c r="A15" s="28" t="n">
        <v>12</v>
      </c>
      <c r="B15" s="29" t="n">
        <v>200</v>
      </c>
      <c r="C15" s="29" t="n">
        <v>52000</v>
      </c>
      <c r="D15" s="29" t="n">
        <v>9150.32679738562</v>
      </c>
      <c r="E15" s="29" t="n">
        <v>12600</v>
      </c>
      <c r="F15" s="29" t="n">
        <v>0</v>
      </c>
      <c r="G15" s="29" t="n">
        <v>5000</v>
      </c>
      <c r="H15" s="29" t="n">
        <v>2500</v>
      </c>
      <c r="I15" s="29" t="n">
        <v>0</v>
      </c>
      <c r="J15" s="29" t="n">
        <v>29250.32679738562</v>
      </c>
      <c r="K15" s="29" t="n">
        <v>9375</v>
      </c>
      <c r="L15" s="29" t="n">
        <v>13374.67320261438</v>
      </c>
      <c r="M15" s="29" t="n">
        <v>176996.0784313726</v>
      </c>
      <c r="N15" s="29" t="n">
        <v>222933.5784313726</v>
      </c>
    </row>
    <row r="16">
      <c r="A16" s="28" t="n">
        <v>13</v>
      </c>
      <c r="B16" s="29" t="n">
        <v>200</v>
      </c>
      <c r="C16" s="29" t="n">
        <v>52000</v>
      </c>
      <c r="D16" s="29" t="n">
        <v>9150.32679738562</v>
      </c>
      <c r="E16" s="29" t="n">
        <v>12600</v>
      </c>
      <c r="F16" s="29" t="n">
        <v>9000</v>
      </c>
      <c r="G16" s="29" t="n">
        <v>5000</v>
      </c>
      <c r="H16" s="29" t="n">
        <v>2500</v>
      </c>
      <c r="I16" s="29" t="n">
        <v>0</v>
      </c>
      <c r="J16" s="29" t="n">
        <v>38250.32679738562</v>
      </c>
      <c r="K16" s="29" t="n">
        <v>0</v>
      </c>
      <c r="L16" s="29" t="n">
        <v>13749.67320261438</v>
      </c>
      <c r="M16" s="29" t="n">
        <v>190745.751633987</v>
      </c>
      <c r="N16" s="29" t="n">
        <v>236683.251633987</v>
      </c>
    </row>
    <row r="17">
      <c r="A17" s="28" t="n">
        <v>14</v>
      </c>
      <c r="B17" s="29" t="n">
        <v>200</v>
      </c>
      <c r="C17" s="29" t="n">
        <v>52000</v>
      </c>
      <c r="D17" s="29" t="n">
        <v>9150.32679738562</v>
      </c>
      <c r="E17" s="29" t="n">
        <v>12600</v>
      </c>
      <c r="F17" s="29" t="n">
        <v>0</v>
      </c>
      <c r="G17" s="29" t="n">
        <v>5000</v>
      </c>
      <c r="H17" s="29" t="n">
        <v>2500</v>
      </c>
      <c r="I17" s="29" t="n">
        <v>0</v>
      </c>
      <c r="J17" s="29" t="n">
        <v>29250.32679738562</v>
      </c>
      <c r="K17" s="29" t="n">
        <v>0</v>
      </c>
      <c r="L17" s="29" t="n">
        <v>22749.67320261438</v>
      </c>
      <c r="M17" s="29" t="n">
        <v>213495.4248366014</v>
      </c>
      <c r="N17" s="29" t="n">
        <v>259432.9248366014</v>
      </c>
    </row>
    <row r="18">
      <c r="A18" s="28" t="n">
        <v>15</v>
      </c>
      <c r="B18" s="29" t="n">
        <v>200</v>
      </c>
      <c r="C18" s="29" t="n">
        <v>52000</v>
      </c>
      <c r="D18" s="29" t="n">
        <v>9150.32679738562</v>
      </c>
      <c r="E18" s="29" t="n">
        <v>12600</v>
      </c>
      <c r="F18" s="29" t="n">
        <v>0</v>
      </c>
      <c r="G18" s="29" t="n">
        <v>5000</v>
      </c>
      <c r="H18" s="29" t="n">
        <v>2500</v>
      </c>
      <c r="I18" s="29" t="n">
        <v>0</v>
      </c>
      <c r="J18" s="29" t="n">
        <v>29250.32679738562</v>
      </c>
      <c r="K18" s="29" t="n">
        <v>0</v>
      </c>
      <c r="L18" s="29" t="n">
        <v>22749.67320261438</v>
      </c>
      <c r="M18" s="29" t="n">
        <v>236245.0980392158</v>
      </c>
      <c r="N18" s="29" t="n">
        <v>282182.5980392158</v>
      </c>
    </row>
    <row r="19">
      <c r="A19" s="28" t="n">
        <v>16</v>
      </c>
      <c r="B19" s="29" t="n">
        <v>200</v>
      </c>
      <c r="C19" s="29" t="n">
        <v>52000</v>
      </c>
      <c r="D19" s="29" t="n">
        <v>9150.32679738562</v>
      </c>
      <c r="E19" s="29" t="n">
        <v>12600</v>
      </c>
      <c r="F19" s="29" t="n">
        <v>9000</v>
      </c>
      <c r="G19" s="29" t="n">
        <v>5000</v>
      </c>
      <c r="H19" s="29" t="n">
        <v>2500</v>
      </c>
      <c r="I19" s="29" t="n">
        <v>0</v>
      </c>
      <c r="J19" s="29" t="n">
        <v>38250.32679738562</v>
      </c>
      <c r="K19" s="29" t="n">
        <v>9062.5</v>
      </c>
      <c r="L19" s="29" t="n">
        <v>4687.17320261438</v>
      </c>
      <c r="M19" s="29" t="n">
        <v>249994.7712418301</v>
      </c>
      <c r="N19" s="29" t="n">
        <v>286869.7712418301</v>
      </c>
    </row>
    <row r="20">
      <c r="A20" s="28" t="n">
        <v>17</v>
      </c>
      <c r="B20" s="29" t="n">
        <v>200</v>
      </c>
      <c r="C20" s="29" t="n">
        <v>52000</v>
      </c>
      <c r="D20" s="29" t="n">
        <v>9150.32679738562</v>
      </c>
      <c r="E20" s="29" t="n">
        <v>12600</v>
      </c>
      <c r="F20" s="29" t="n">
        <v>0</v>
      </c>
      <c r="G20" s="29" t="n">
        <v>5000</v>
      </c>
      <c r="H20" s="29" t="n">
        <v>2500</v>
      </c>
      <c r="I20" s="29" t="n">
        <v>0</v>
      </c>
      <c r="J20" s="29" t="n">
        <v>29250.32679738562</v>
      </c>
      <c r="K20" s="29" t="n">
        <v>0</v>
      </c>
      <c r="L20" s="29" t="n">
        <v>22749.67320261438</v>
      </c>
      <c r="M20" s="29" t="n">
        <v>272744.4444444445</v>
      </c>
      <c r="N20" s="29" t="n">
        <v>309619.4444444445</v>
      </c>
    </row>
    <row r="21">
      <c r="A21" s="28" t="n">
        <v>18</v>
      </c>
      <c r="B21" s="29" t="n">
        <v>200</v>
      </c>
      <c r="C21" s="29" t="n">
        <v>52000</v>
      </c>
      <c r="D21" s="29" t="n">
        <v>9150.32679738562</v>
      </c>
      <c r="E21" s="29" t="n">
        <v>12600</v>
      </c>
      <c r="F21" s="29" t="n">
        <v>0</v>
      </c>
      <c r="G21" s="29" t="n">
        <v>5000</v>
      </c>
      <c r="H21" s="29" t="n">
        <v>2500</v>
      </c>
      <c r="I21" s="29" t="n">
        <v>0</v>
      </c>
      <c r="J21" s="29" t="n">
        <v>29250.32679738562</v>
      </c>
      <c r="K21" s="29" t="n">
        <v>0</v>
      </c>
      <c r="L21" s="29" t="n">
        <v>22749.67320261438</v>
      </c>
      <c r="M21" s="29" t="n">
        <v>295494.1176470589</v>
      </c>
      <c r="N21" s="29" t="n">
        <v>332369.1176470589</v>
      </c>
    </row>
    <row r="22">
      <c r="A22" s="28" t="n">
        <v>19</v>
      </c>
      <c r="B22" s="29" t="n">
        <v>200</v>
      </c>
      <c r="C22" s="29" t="n">
        <v>52000</v>
      </c>
      <c r="D22" s="29" t="n">
        <v>9150.32679738562</v>
      </c>
      <c r="E22" s="29" t="n">
        <v>12600</v>
      </c>
      <c r="F22" s="29" t="n">
        <v>9000</v>
      </c>
      <c r="G22" s="29" t="n">
        <v>5000</v>
      </c>
      <c r="H22" s="29" t="n">
        <v>2500</v>
      </c>
      <c r="I22" s="29" t="n">
        <v>0</v>
      </c>
      <c r="J22" s="29" t="n">
        <v>38250.32679738562</v>
      </c>
      <c r="K22" s="29" t="n">
        <v>0</v>
      </c>
      <c r="L22" s="29" t="n">
        <v>13749.67320261438</v>
      </c>
      <c r="M22" s="29" t="n">
        <v>309243.7908496732</v>
      </c>
      <c r="N22" s="29" t="n">
        <v>346118.7908496732</v>
      </c>
    </row>
    <row r="23">
      <c r="A23" s="28" t="n">
        <v>20</v>
      </c>
      <c r="B23" s="29" t="n">
        <v>200</v>
      </c>
      <c r="C23" s="29" t="n">
        <v>52000</v>
      </c>
      <c r="D23" s="29" t="n">
        <v>9150.32679738562</v>
      </c>
      <c r="E23" s="29" t="n">
        <v>12600</v>
      </c>
      <c r="F23" s="29" t="n">
        <v>0</v>
      </c>
      <c r="G23" s="29" t="n">
        <v>5000</v>
      </c>
      <c r="H23" s="29" t="n">
        <v>2500</v>
      </c>
      <c r="I23" s="29" t="n">
        <v>0</v>
      </c>
      <c r="J23" s="29" t="n">
        <v>29250.32679738562</v>
      </c>
      <c r="K23" s="29" t="n">
        <v>8750</v>
      </c>
      <c r="L23" s="29" t="n">
        <v>13999.67320261438</v>
      </c>
      <c r="M23" s="29" t="n">
        <v>331993.4640522876</v>
      </c>
      <c r="N23" s="29" t="n">
        <v>360118.4640522876</v>
      </c>
    </row>
    <row r="24">
      <c r="A24" s="28" t="n">
        <v>21</v>
      </c>
      <c r="B24" s="29" t="n">
        <v>200</v>
      </c>
      <c r="C24" s="29" t="n">
        <v>52000</v>
      </c>
      <c r="D24" s="29" t="n">
        <v>9150.32679738562</v>
      </c>
      <c r="E24" s="29" t="n">
        <v>12600</v>
      </c>
      <c r="F24" s="29" t="n">
        <v>0</v>
      </c>
      <c r="G24" s="29" t="n">
        <v>5000</v>
      </c>
      <c r="H24" s="29" t="n">
        <v>2500</v>
      </c>
      <c r="I24" s="29" t="n">
        <v>0</v>
      </c>
      <c r="J24" s="29" t="n">
        <v>29250.32679738562</v>
      </c>
      <c r="K24" s="29" t="n">
        <v>0</v>
      </c>
      <c r="L24" s="29" t="n">
        <v>22749.67320261438</v>
      </c>
      <c r="M24" s="29" t="n">
        <v>354743.1372549019</v>
      </c>
      <c r="N24" s="29" t="n">
        <v>382868.1372549019</v>
      </c>
    </row>
    <row r="25">
      <c r="A25" s="28" t="n">
        <v>22</v>
      </c>
      <c r="B25" s="29" t="n">
        <v>200</v>
      </c>
      <c r="C25" s="29" t="n">
        <v>52000</v>
      </c>
      <c r="D25" s="29" t="n">
        <v>9150.32679738562</v>
      </c>
      <c r="E25" s="29" t="n">
        <v>12600</v>
      </c>
      <c r="F25" s="29" t="n">
        <v>9000</v>
      </c>
      <c r="G25" s="29" t="n">
        <v>5000</v>
      </c>
      <c r="H25" s="29" t="n">
        <v>2500</v>
      </c>
      <c r="I25" s="29" t="n">
        <v>0</v>
      </c>
      <c r="J25" s="29" t="n">
        <v>38250.32679738562</v>
      </c>
      <c r="K25" s="29" t="n">
        <v>0</v>
      </c>
      <c r="L25" s="29" t="n">
        <v>13749.67320261438</v>
      </c>
      <c r="M25" s="29" t="n">
        <v>368492.8104575163</v>
      </c>
      <c r="N25" s="29" t="n">
        <v>396617.8104575163</v>
      </c>
    </row>
    <row r="26">
      <c r="A26" s="28" t="n">
        <v>23</v>
      </c>
      <c r="B26" s="29" t="n">
        <v>200</v>
      </c>
      <c r="C26" s="29" t="n">
        <v>52000</v>
      </c>
      <c r="D26" s="29" t="n">
        <v>9150.32679738562</v>
      </c>
      <c r="E26" s="29" t="n">
        <v>12600</v>
      </c>
      <c r="F26" s="29" t="n">
        <v>0</v>
      </c>
      <c r="G26" s="29" t="n">
        <v>5000</v>
      </c>
      <c r="H26" s="29" t="n">
        <v>2500</v>
      </c>
      <c r="I26" s="29" t="n">
        <v>0</v>
      </c>
      <c r="J26" s="29" t="n">
        <v>29250.32679738562</v>
      </c>
      <c r="K26" s="29" t="n">
        <v>0</v>
      </c>
      <c r="L26" s="29" t="n">
        <v>22749.67320261438</v>
      </c>
      <c r="M26" s="29" t="n">
        <v>391242.4836601306</v>
      </c>
      <c r="N26" s="29" t="n">
        <v>419367.4836601306</v>
      </c>
    </row>
    <row r="27">
      <c r="A27" s="28" t="n">
        <v>24</v>
      </c>
      <c r="B27" s="29" t="n">
        <v>200</v>
      </c>
      <c r="C27" s="29" t="n">
        <v>52000</v>
      </c>
      <c r="D27" s="29" t="n">
        <v>9150.32679738562</v>
      </c>
      <c r="E27" s="29" t="n">
        <v>12600</v>
      </c>
      <c r="F27" s="29" t="n">
        <v>0</v>
      </c>
      <c r="G27" s="29" t="n">
        <v>5000</v>
      </c>
      <c r="H27" s="29" t="n">
        <v>2500</v>
      </c>
      <c r="I27" s="29" t="n">
        <v>0</v>
      </c>
      <c r="J27" s="29" t="n">
        <v>29250.32679738562</v>
      </c>
      <c r="K27" s="29" t="n">
        <v>8437.5</v>
      </c>
      <c r="L27" s="29" t="n">
        <v>14312.17320261438</v>
      </c>
      <c r="M27" s="29" t="n">
        <v>413992.156862745</v>
      </c>
      <c r="N27" s="29" t="n">
        <v>433679.656862745</v>
      </c>
    </row>
    <row r="28">
      <c r="A28" s="28" t="n">
        <v>25</v>
      </c>
      <c r="B28" s="29" t="n">
        <v>200</v>
      </c>
      <c r="C28" s="29" t="n">
        <v>52000</v>
      </c>
      <c r="D28" s="29" t="n">
        <v>9150.32679738562</v>
      </c>
      <c r="E28" s="29" t="n">
        <v>12600</v>
      </c>
      <c r="F28" s="29" t="n">
        <v>9000</v>
      </c>
      <c r="G28" s="29" t="n">
        <v>5000</v>
      </c>
      <c r="H28" s="29" t="n">
        <v>2500</v>
      </c>
      <c r="I28" s="29" t="n">
        <v>0</v>
      </c>
      <c r="J28" s="29" t="n">
        <v>38250.32679738562</v>
      </c>
      <c r="K28" s="29" t="n">
        <v>0</v>
      </c>
      <c r="L28" s="29" t="n">
        <v>13749.67320261438</v>
      </c>
      <c r="M28" s="29" t="n">
        <v>427741.8300653594</v>
      </c>
      <c r="N28" s="29" t="n">
        <v>447429.3300653594</v>
      </c>
    </row>
    <row r="29">
      <c r="A29" s="28" t="n">
        <v>26</v>
      </c>
      <c r="B29" s="29" t="n">
        <v>200</v>
      </c>
      <c r="C29" s="29" t="n">
        <v>52000</v>
      </c>
      <c r="D29" s="29" t="n">
        <v>9150.32679738562</v>
      </c>
      <c r="E29" s="29" t="n">
        <v>12600</v>
      </c>
      <c r="F29" s="29" t="n">
        <v>0</v>
      </c>
      <c r="G29" s="29" t="n">
        <v>5000</v>
      </c>
      <c r="H29" s="29" t="n">
        <v>2500</v>
      </c>
      <c r="I29" s="29" t="n">
        <v>0</v>
      </c>
      <c r="J29" s="29" t="n">
        <v>29250.32679738562</v>
      </c>
      <c r="K29" s="29" t="n">
        <v>0</v>
      </c>
      <c r="L29" s="29" t="n">
        <v>22749.67320261438</v>
      </c>
      <c r="M29" s="29" t="n">
        <v>450491.5032679737</v>
      </c>
      <c r="N29" s="29" t="n">
        <v>470179.0032679737</v>
      </c>
    </row>
    <row r="30">
      <c r="A30" s="28" t="n">
        <v>27</v>
      </c>
      <c r="B30" s="29" t="n">
        <v>200</v>
      </c>
      <c r="C30" s="29" t="n">
        <v>52000</v>
      </c>
      <c r="D30" s="29" t="n">
        <v>9150.32679738562</v>
      </c>
      <c r="E30" s="29" t="n">
        <v>12600</v>
      </c>
      <c r="F30" s="29" t="n">
        <v>0</v>
      </c>
      <c r="G30" s="29" t="n">
        <v>5000</v>
      </c>
      <c r="H30" s="29" t="n">
        <v>2500</v>
      </c>
      <c r="I30" s="29" t="n">
        <v>0</v>
      </c>
      <c r="J30" s="29" t="n">
        <v>29250.32679738562</v>
      </c>
      <c r="K30" s="29" t="n">
        <v>0</v>
      </c>
      <c r="L30" s="29" t="n">
        <v>22749.67320261438</v>
      </c>
      <c r="M30" s="29" t="n">
        <v>473241.1764705881</v>
      </c>
      <c r="N30" s="29" t="n">
        <v>492928.6764705881</v>
      </c>
    </row>
    <row r="31">
      <c r="A31" s="28" t="n">
        <v>28</v>
      </c>
      <c r="B31" s="29" t="n">
        <v>200</v>
      </c>
      <c r="C31" s="29" t="n">
        <v>52000</v>
      </c>
      <c r="D31" s="29" t="n">
        <v>9150.32679738562</v>
      </c>
      <c r="E31" s="29" t="n">
        <v>12600</v>
      </c>
      <c r="F31" s="29" t="n">
        <v>9000</v>
      </c>
      <c r="G31" s="29" t="n">
        <v>5000</v>
      </c>
      <c r="H31" s="29" t="n">
        <v>2500</v>
      </c>
      <c r="I31" s="29" t="n">
        <v>0</v>
      </c>
      <c r="J31" s="29" t="n">
        <v>38250.32679738562</v>
      </c>
      <c r="K31" s="29" t="n">
        <v>8125</v>
      </c>
      <c r="L31" s="29" t="n">
        <v>5624.67320261438</v>
      </c>
      <c r="M31" s="29" t="n">
        <v>486990.8496732024</v>
      </c>
      <c r="N31" s="29" t="n">
        <v>498553.3496732024</v>
      </c>
    </row>
    <row r="32">
      <c r="A32" s="28" t="n">
        <v>29</v>
      </c>
      <c r="B32" s="29" t="n">
        <v>200</v>
      </c>
      <c r="C32" s="29" t="n">
        <v>52000</v>
      </c>
      <c r="D32" s="29" t="n">
        <v>9150.32679738562</v>
      </c>
      <c r="E32" s="29" t="n">
        <v>12600</v>
      </c>
      <c r="F32" s="29" t="n">
        <v>0</v>
      </c>
      <c r="G32" s="29" t="n">
        <v>5000</v>
      </c>
      <c r="H32" s="29" t="n">
        <v>2500</v>
      </c>
      <c r="I32" s="29" t="n">
        <v>0</v>
      </c>
      <c r="J32" s="29" t="n">
        <v>29250.32679738562</v>
      </c>
      <c r="K32" s="29" t="n">
        <v>0</v>
      </c>
      <c r="L32" s="29" t="n">
        <v>22749.67320261438</v>
      </c>
      <c r="M32" s="29" t="n">
        <v>509740.5228758168</v>
      </c>
      <c r="N32" s="29" t="n">
        <v>521303.0228758168</v>
      </c>
    </row>
    <row r="33">
      <c r="A33" s="28" t="n">
        <v>30</v>
      </c>
      <c r="B33" s="29" t="n">
        <v>200</v>
      </c>
      <c r="C33" s="29" t="n">
        <v>52000</v>
      </c>
      <c r="D33" s="29" t="n">
        <v>9150.32679738562</v>
      </c>
      <c r="E33" s="29" t="n">
        <v>12600</v>
      </c>
      <c r="F33" s="29" t="n">
        <v>0</v>
      </c>
      <c r="G33" s="29" t="n">
        <v>5000</v>
      </c>
      <c r="H33" s="29" t="n">
        <v>2500</v>
      </c>
      <c r="I33" s="29" t="n">
        <v>0</v>
      </c>
      <c r="J33" s="29" t="n">
        <v>29250.32679738562</v>
      </c>
      <c r="K33" s="29" t="n">
        <v>0</v>
      </c>
      <c r="L33" s="29" t="n">
        <v>22749.67320261438</v>
      </c>
      <c r="M33" s="29" t="n">
        <v>532490.1960784312</v>
      </c>
      <c r="N33" s="29" t="n">
        <v>544052.6960784312</v>
      </c>
    </row>
    <row r="34">
      <c r="A34" s="28" t="n">
        <v>31</v>
      </c>
      <c r="B34" s="29" t="n">
        <v>200</v>
      </c>
      <c r="C34" s="29" t="n">
        <v>52000</v>
      </c>
      <c r="D34" s="29" t="n">
        <v>9150.32679738562</v>
      </c>
      <c r="E34" s="29" t="n">
        <v>12600</v>
      </c>
      <c r="F34" s="29" t="n">
        <v>9000</v>
      </c>
      <c r="G34" s="29" t="n">
        <v>5000</v>
      </c>
      <c r="H34" s="29" t="n">
        <v>2500</v>
      </c>
      <c r="I34" s="29" t="n">
        <v>0</v>
      </c>
      <c r="J34" s="29" t="n">
        <v>38250.32679738562</v>
      </c>
      <c r="K34" s="29" t="n">
        <v>0</v>
      </c>
      <c r="L34" s="29" t="n">
        <v>13749.67320261438</v>
      </c>
      <c r="M34" s="29" t="n">
        <v>546239.8692810456</v>
      </c>
      <c r="N34" s="29" t="n">
        <v>557802.3692810456</v>
      </c>
    </row>
    <row r="35">
      <c r="A35" s="28" t="n">
        <v>32</v>
      </c>
      <c r="B35" s="29" t="n">
        <v>200</v>
      </c>
      <c r="C35" s="29" t="n">
        <v>52000</v>
      </c>
      <c r="D35" s="29" t="n">
        <v>9150.32679738562</v>
      </c>
      <c r="E35" s="29" t="n">
        <v>12600</v>
      </c>
      <c r="F35" s="29" t="n">
        <v>0</v>
      </c>
      <c r="G35" s="29" t="n">
        <v>5000</v>
      </c>
      <c r="H35" s="29" t="n">
        <v>2500</v>
      </c>
      <c r="I35" s="29" t="n">
        <v>0</v>
      </c>
      <c r="J35" s="29" t="n">
        <v>29250.32679738562</v>
      </c>
      <c r="K35" s="29" t="n">
        <v>7812.5</v>
      </c>
      <c r="L35" s="29" t="n">
        <v>14937.17320261438</v>
      </c>
      <c r="M35" s="29" t="n">
        <v>568989.54248366</v>
      </c>
      <c r="N35" s="29" t="n">
        <v>572739.54248366</v>
      </c>
    </row>
    <row r="36">
      <c r="A36" s="28" t="n">
        <v>33</v>
      </c>
      <c r="B36" s="29" t="n">
        <v>200</v>
      </c>
      <c r="C36" s="29" t="n">
        <v>52000</v>
      </c>
      <c r="D36" s="29" t="n">
        <v>9150.32679738562</v>
      </c>
      <c r="E36" s="29" t="n">
        <v>12600</v>
      </c>
      <c r="F36" s="29" t="n">
        <v>0</v>
      </c>
      <c r="G36" s="29" t="n">
        <v>5000</v>
      </c>
      <c r="H36" s="29" t="n">
        <v>2500</v>
      </c>
      <c r="I36" s="29" t="n">
        <v>0</v>
      </c>
      <c r="J36" s="29" t="n">
        <v>29250.32679738562</v>
      </c>
      <c r="K36" s="29" t="n">
        <v>0</v>
      </c>
      <c r="L36" s="29" t="n">
        <v>22749.67320261438</v>
      </c>
      <c r="M36" s="29" t="n">
        <v>591739.2156862745</v>
      </c>
      <c r="N36" s="29" t="n">
        <v>595489.2156862745</v>
      </c>
    </row>
    <row r="37">
      <c r="A37" s="28" t="n">
        <v>34</v>
      </c>
      <c r="B37" s="29" t="n">
        <v>200</v>
      </c>
      <c r="C37" s="29" t="n">
        <v>52000</v>
      </c>
      <c r="D37" s="29" t="n">
        <v>9150.32679738562</v>
      </c>
      <c r="E37" s="29" t="n">
        <v>12600</v>
      </c>
      <c r="F37" s="29" t="n">
        <v>9000</v>
      </c>
      <c r="G37" s="29" t="n">
        <v>5000</v>
      </c>
      <c r="H37" s="29" t="n">
        <v>2500</v>
      </c>
      <c r="I37" s="29" t="n">
        <v>0</v>
      </c>
      <c r="J37" s="29" t="n">
        <v>38250.32679738562</v>
      </c>
      <c r="K37" s="29" t="n">
        <v>0</v>
      </c>
      <c r="L37" s="29" t="n">
        <v>13749.67320261438</v>
      </c>
      <c r="M37" s="29" t="n">
        <v>605488.8888888889</v>
      </c>
      <c r="N37" s="29" t="n">
        <v>609238.8888888889</v>
      </c>
    </row>
    <row r="38">
      <c r="A38" s="28" t="n">
        <v>35</v>
      </c>
      <c r="B38" s="29" t="n">
        <v>200</v>
      </c>
      <c r="C38" s="29" t="n">
        <v>52000</v>
      </c>
      <c r="D38" s="29" t="n">
        <v>9150.32679738562</v>
      </c>
      <c r="E38" s="29" t="n">
        <v>12600</v>
      </c>
      <c r="F38" s="29" t="n">
        <v>0</v>
      </c>
      <c r="G38" s="29" t="n">
        <v>5000</v>
      </c>
      <c r="H38" s="29" t="n">
        <v>2500</v>
      </c>
      <c r="I38" s="29" t="n">
        <v>0</v>
      </c>
      <c r="J38" s="29" t="n">
        <v>29250.32679738562</v>
      </c>
      <c r="K38" s="29" t="n">
        <v>0</v>
      </c>
      <c r="L38" s="29" t="n">
        <v>22749.67320261438</v>
      </c>
      <c r="M38" s="29" t="n">
        <v>628238.5620915033</v>
      </c>
      <c r="N38" s="29" t="n">
        <v>631988.5620915033</v>
      </c>
    </row>
    <row r="39">
      <c r="A39" s="28" t="n">
        <v>36</v>
      </c>
      <c r="B39" s="29" t="n">
        <v>200</v>
      </c>
      <c r="C39" s="29" t="n">
        <v>52000</v>
      </c>
      <c r="D39" s="29" t="n">
        <v>9150.32679738562</v>
      </c>
      <c r="E39" s="29" t="n">
        <v>12600</v>
      </c>
      <c r="F39" s="29" t="n">
        <v>0</v>
      </c>
      <c r="G39" s="29" t="n">
        <v>5000</v>
      </c>
      <c r="H39" s="29" t="n">
        <v>2500</v>
      </c>
      <c r="I39" s="29" t="n">
        <v>0</v>
      </c>
      <c r="J39" s="29" t="n">
        <v>29250.32679738562</v>
      </c>
      <c r="K39" s="29" t="n">
        <v>7500</v>
      </c>
      <c r="L39" s="29" t="n">
        <v>15249.67320261438</v>
      </c>
      <c r="M39" s="29" t="n">
        <v>650988.2352941177</v>
      </c>
      <c r="N39" s="29" t="n">
        <v>647238.2352941177</v>
      </c>
    </row>
    <row r="40">
      <c r="A40" s="28" t="n">
        <v>37</v>
      </c>
      <c r="B40" s="29" t="n">
        <v>200</v>
      </c>
      <c r="C40" s="29" t="n">
        <v>52000</v>
      </c>
      <c r="D40" s="29" t="n">
        <v>9150.32679738562</v>
      </c>
      <c r="E40" s="29" t="n">
        <v>12600</v>
      </c>
      <c r="F40" s="29" t="n">
        <v>9000</v>
      </c>
      <c r="G40" s="29" t="n">
        <v>5000</v>
      </c>
      <c r="H40" s="29" t="n">
        <v>2500</v>
      </c>
      <c r="I40" s="29" t="n">
        <v>0</v>
      </c>
      <c r="J40" s="29" t="n">
        <v>38250.32679738562</v>
      </c>
      <c r="K40" s="29" t="n">
        <v>0</v>
      </c>
      <c r="L40" s="29" t="n">
        <v>13749.67320261438</v>
      </c>
      <c r="M40" s="29" t="n">
        <v>664737.9084967321</v>
      </c>
      <c r="N40" s="29" t="n">
        <v>660987.9084967321</v>
      </c>
    </row>
    <row r="41">
      <c r="A41" s="28" t="n">
        <v>38</v>
      </c>
      <c r="B41" s="29" t="n">
        <v>200</v>
      </c>
      <c r="C41" s="29" t="n">
        <v>52000</v>
      </c>
      <c r="D41" s="29" t="n">
        <v>9150.32679738562</v>
      </c>
      <c r="E41" s="29" t="n">
        <v>12600</v>
      </c>
      <c r="F41" s="29" t="n">
        <v>0</v>
      </c>
      <c r="G41" s="29" t="n">
        <v>5000</v>
      </c>
      <c r="H41" s="29" t="n">
        <v>2500</v>
      </c>
      <c r="I41" s="29" t="n">
        <v>0</v>
      </c>
      <c r="J41" s="29" t="n">
        <v>29250.32679738562</v>
      </c>
      <c r="K41" s="29" t="n">
        <v>0</v>
      </c>
      <c r="L41" s="29" t="n">
        <v>22749.67320261438</v>
      </c>
      <c r="M41" s="29" t="n">
        <v>687487.5816993465</v>
      </c>
      <c r="N41" s="29" t="n">
        <v>683737.5816993465</v>
      </c>
    </row>
    <row r="42">
      <c r="A42" s="28" t="n">
        <v>39</v>
      </c>
      <c r="B42" s="29" t="n">
        <v>200</v>
      </c>
      <c r="C42" s="29" t="n">
        <v>52000</v>
      </c>
      <c r="D42" s="29" t="n">
        <v>9150.32679738562</v>
      </c>
      <c r="E42" s="29" t="n">
        <v>12600</v>
      </c>
      <c r="F42" s="29" t="n">
        <v>0</v>
      </c>
      <c r="G42" s="29" t="n">
        <v>5000</v>
      </c>
      <c r="H42" s="29" t="n">
        <v>2500</v>
      </c>
      <c r="I42" s="29" t="n">
        <v>0</v>
      </c>
      <c r="J42" s="29" t="n">
        <v>29250.32679738562</v>
      </c>
      <c r="K42" s="29" t="n">
        <v>0</v>
      </c>
      <c r="L42" s="29" t="n">
        <v>22749.67320261438</v>
      </c>
      <c r="M42" s="29" t="n">
        <v>710237.254901961</v>
      </c>
      <c r="N42" s="29" t="n">
        <v>706487.254901961</v>
      </c>
    </row>
    <row r="43">
      <c r="A43" s="28" t="n">
        <v>40</v>
      </c>
      <c r="B43" s="29" t="n">
        <v>200</v>
      </c>
      <c r="C43" s="29" t="n">
        <v>52000</v>
      </c>
      <c r="D43" s="29" t="n">
        <v>9150.32679738562</v>
      </c>
      <c r="E43" s="29" t="n">
        <v>12600</v>
      </c>
      <c r="F43" s="29" t="n">
        <v>9000</v>
      </c>
      <c r="G43" s="29" t="n">
        <v>5000</v>
      </c>
      <c r="H43" s="29" t="n">
        <v>2500</v>
      </c>
      <c r="I43" s="29" t="n">
        <v>0</v>
      </c>
      <c r="J43" s="29" t="n">
        <v>38250.32679738562</v>
      </c>
      <c r="K43" s="29" t="n">
        <v>7187.5</v>
      </c>
      <c r="L43" s="29" t="n">
        <v>6562.17320261438</v>
      </c>
      <c r="M43" s="29" t="n">
        <v>723986.9281045754</v>
      </c>
      <c r="N43" s="29" t="n">
        <v>713049.4281045754</v>
      </c>
    </row>
    <row r="44">
      <c r="A44" s="28" t="n">
        <v>41</v>
      </c>
      <c r="B44" s="29" t="n">
        <v>200</v>
      </c>
      <c r="C44" s="29" t="n">
        <v>52000</v>
      </c>
      <c r="D44" s="29" t="n">
        <v>9150.32679738562</v>
      </c>
      <c r="E44" s="29" t="n">
        <v>12600</v>
      </c>
      <c r="F44" s="29" t="n">
        <v>0</v>
      </c>
      <c r="G44" s="29" t="n">
        <v>5000</v>
      </c>
      <c r="H44" s="29" t="n">
        <v>2500</v>
      </c>
      <c r="I44" s="29" t="n">
        <v>0</v>
      </c>
      <c r="J44" s="29" t="n">
        <v>29250.32679738562</v>
      </c>
      <c r="K44" s="29" t="n">
        <v>0</v>
      </c>
      <c r="L44" s="29" t="n">
        <v>22749.67320261438</v>
      </c>
      <c r="M44" s="29" t="n">
        <v>746736.6013071898</v>
      </c>
      <c r="N44" s="29" t="n">
        <v>735799.1013071898</v>
      </c>
    </row>
    <row r="45">
      <c r="A45" s="28" t="n">
        <v>42</v>
      </c>
      <c r="B45" s="29" t="n">
        <v>200</v>
      </c>
      <c r="C45" s="29" t="n">
        <v>52000</v>
      </c>
      <c r="D45" s="29" t="n">
        <v>9150.32679738562</v>
      </c>
      <c r="E45" s="29" t="n">
        <v>12600</v>
      </c>
      <c r="F45" s="29" t="n">
        <v>0</v>
      </c>
      <c r="G45" s="29" t="n">
        <v>5000</v>
      </c>
      <c r="H45" s="29" t="n">
        <v>2500</v>
      </c>
      <c r="I45" s="29" t="n">
        <v>0</v>
      </c>
      <c r="J45" s="29" t="n">
        <v>29250.32679738562</v>
      </c>
      <c r="K45" s="29" t="n">
        <v>0</v>
      </c>
      <c r="L45" s="29" t="n">
        <v>22749.67320261438</v>
      </c>
      <c r="M45" s="29" t="n">
        <v>769486.2745098042</v>
      </c>
      <c r="N45" s="29" t="n">
        <v>758548.7745098042</v>
      </c>
    </row>
    <row r="46">
      <c r="A46" s="28" t="n">
        <v>43</v>
      </c>
      <c r="B46" s="29" t="n">
        <v>200</v>
      </c>
      <c r="C46" s="29" t="n">
        <v>52000</v>
      </c>
      <c r="D46" s="29" t="n">
        <v>9150.32679738562</v>
      </c>
      <c r="E46" s="29" t="n">
        <v>12600</v>
      </c>
      <c r="F46" s="29" t="n">
        <v>9000</v>
      </c>
      <c r="G46" s="29" t="n">
        <v>5000</v>
      </c>
      <c r="H46" s="29" t="n">
        <v>2500</v>
      </c>
      <c r="I46" s="29" t="n">
        <v>0</v>
      </c>
      <c r="J46" s="29" t="n">
        <v>38250.32679738562</v>
      </c>
      <c r="K46" s="29" t="n">
        <v>0</v>
      </c>
      <c r="L46" s="29" t="n">
        <v>13749.67320261438</v>
      </c>
      <c r="M46" s="29" t="n">
        <v>783235.9477124186</v>
      </c>
      <c r="N46" s="29" t="n">
        <v>772298.4477124186</v>
      </c>
    </row>
    <row r="47">
      <c r="A47" s="28" t="n">
        <v>44</v>
      </c>
      <c r="B47" s="29" t="n">
        <v>200</v>
      </c>
      <c r="C47" s="29" t="n">
        <v>52000</v>
      </c>
      <c r="D47" s="29" t="n">
        <v>9150.32679738562</v>
      </c>
      <c r="E47" s="29" t="n">
        <v>12600</v>
      </c>
      <c r="F47" s="29" t="n">
        <v>0</v>
      </c>
      <c r="G47" s="29" t="n">
        <v>5000</v>
      </c>
      <c r="H47" s="29" t="n">
        <v>2500</v>
      </c>
      <c r="I47" s="29" t="n">
        <v>0</v>
      </c>
      <c r="J47" s="29" t="n">
        <v>29250.32679738562</v>
      </c>
      <c r="K47" s="29" t="n">
        <v>6875</v>
      </c>
      <c r="L47" s="29" t="n">
        <v>15874.67320261438</v>
      </c>
      <c r="M47" s="29" t="n">
        <v>805985.620915033</v>
      </c>
      <c r="N47" s="29" t="n">
        <v>788173.120915033</v>
      </c>
    </row>
    <row r="48">
      <c r="A48" s="28" t="n">
        <v>45</v>
      </c>
      <c r="B48" s="29" t="n">
        <v>200</v>
      </c>
      <c r="C48" s="29" t="n">
        <v>52000</v>
      </c>
      <c r="D48" s="29" t="n">
        <v>9150.32679738562</v>
      </c>
      <c r="E48" s="29" t="n">
        <v>12600</v>
      </c>
      <c r="F48" s="29" t="n">
        <v>0</v>
      </c>
      <c r="G48" s="29" t="n">
        <v>5000</v>
      </c>
      <c r="H48" s="29" t="n">
        <v>2500</v>
      </c>
      <c r="I48" s="29" t="n">
        <v>0</v>
      </c>
      <c r="J48" s="29" t="n">
        <v>29250.32679738562</v>
      </c>
      <c r="K48" s="29" t="n">
        <v>0</v>
      </c>
      <c r="L48" s="29" t="n">
        <v>22749.67320261438</v>
      </c>
      <c r="M48" s="29" t="n">
        <v>828735.2941176475</v>
      </c>
      <c r="N48" s="29" t="n">
        <v>810922.7941176475</v>
      </c>
    </row>
    <row r="49">
      <c r="A49" s="28" t="n">
        <v>46</v>
      </c>
      <c r="B49" s="29" t="n">
        <v>200</v>
      </c>
      <c r="C49" s="29" t="n">
        <v>52000</v>
      </c>
      <c r="D49" s="29" t="n">
        <v>9150.32679738562</v>
      </c>
      <c r="E49" s="29" t="n">
        <v>12600</v>
      </c>
      <c r="F49" s="29" t="n">
        <v>9000</v>
      </c>
      <c r="G49" s="29" t="n">
        <v>5000</v>
      </c>
      <c r="H49" s="29" t="n">
        <v>2500</v>
      </c>
      <c r="I49" s="29" t="n">
        <v>0</v>
      </c>
      <c r="J49" s="29" t="n">
        <v>38250.32679738562</v>
      </c>
      <c r="K49" s="29" t="n">
        <v>0</v>
      </c>
      <c r="L49" s="29" t="n">
        <v>13749.67320261438</v>
      </c>
      <c r="M49" s="29" t="n">
        <v>842484.9673202619</v>
      </c>
      <c r="N49" s="29" t="n">
        <v>824672.4673202619</v>
      </c>
    </row>
    <row r="50">
      <c r="A50" s="28" t="n">
        <v>47</v>
      </c>
      <c r="B50" s="29" t="n">
        <v>200</v>
      </c>
      <c r="C50" s="29" t="n">
        <v>52000</v>
      </c>
      <c r="D50" s="29" t="n">
        <v>9150.32679738562</v>
      </c>
      <c r="E50" s="29" t="n">
        <v>12600</v>
      </c>
      <c r="F50" s="29" t="n">
        <v>0</v>
      </c>
      <c r="G50" s="29" t="n">
        <v>5000</v>
      </c>
      <c r="H50" s="29" t="n">
        <v>2500</v>
      </c>
      <c r="I50" s="29" t="n">
        <v>0</v>
      </c>
      <c r="J50" s="29" t="n">
        <v>29250.32679738562</v>
      </c>
      <c r="K50" s="29" t="n">
        <v>0</v>
      </c>
      <c r="L50" s="29" t="n">
        <v>22749.67320261438</v>
      </c>
      <c r="M50" s="29" t="n">
        <v>865234.6405228763</v>
      </c>
      <c r="N50" s="29" t="n">
        <v>847422.1405228763</v>
      </c>
    </row>
    <row r="51">
      <c r="A51" s="28" t="n">
        <v>48</v>
      </c>
      <c r="B51" s="29" t="n">
        <v>200</v>
      </c>
      <c r="C51" s="29" t="n">
        <v>52000</v>
      </c>
      <c r="D51" s="29" t="n">
        <v>9150.32679738562</v>
      </c>
      <c r="E51" s="29" t="n">
        <v>12600</v>
      </c>
      <c r="F51" s="29" t="n">
        <v>0</v>
      </c>
      <c r="G51" s="29" t="n">
        <v>5000</v>
      </c>
      <c r="H51" s="29" t="n">
        <v>2500</v>
      </c>
      <c r="I51" s="29" t="n">
        <v>0</v>
      </c>
      <c r="J51" s="29" t="n">
        <v>29250.32679738562</v>
      </c>
      <c r="K51" s="29" t="n">
        <v>6562.5</v>
      </c>
      <c r="L51" s="29" t="n">
        <v>16187.17320261438</v>
      </c>
      <c r="M51" s="29" t="n">
        <v>887984.3137254907</v>
      </c>
      <c r="N51" s="29" t="n">
        <v>863609.3137254907</v>
      </c>
    </row>
    <row r="52">
      <c r="A52" s="28" t="n">
        <v>49</v>
      </c>
      <c r="B52" s="29" t="n">
        <v>200</v>
      </c>
      <c r="C52" s="29" t="n">
        <v>52000</v>
      </c>
      <c r="D52" s="29" t="n">
        <v>9150.32679738562</v>
      </c>
      <c r="E52" s="29" t="n">
        <v>12600</v>
      </c>
      <c r="F52" s="29" t="n">
        <v>9000</v>
      </c>
      <c r="G52" s="29" t="n">
        <v>5000</v>
      </c>
      <c r="H52" s="29" t="n">
        <v>2500</v>
      </c>
      <c r="I52" s="29" t="n">
        <v>0</v>
      </c>
      <c r="J52" s="29" t="n">
        <v>38250.32679738562</v>
      </c>
      <c r="K52" s="29" t="n">
        <v>0</v>
      </c>
      <c r="L52" s="29" t="n">
        <v>13749.67320261438</v>
      </c>
      <c r="M52" s="29" t="n">
        <v>901733.9869281051</v>
      </c>
      <c r="N52" s="29" t="n">
        <v>877358.9869281051</v>
      </c>
    </row>
    <row r="53">
      <c r="A53" s="28" t="n">
        <v>50</v>
      </c>
      <c r="B53" s="29" t="n">
        <v>200</v>
      </c>
      <c r="C53" s="29" t="n">
        <v>52000</v>
      </c>
      <c r="D53" s="29" t="n">
        <v>9150.32679738562</v>
      </c>
      <c r="E53" s="29" t="n">
        <v>12600</v>
      </c>
      <c r="F53" s="29" t="n">
        <v>0</v>
      </c>
      <c r="G53" s="29" t="n">
        <v>5000</v>
      </c>
      <c r="H53" s="29" t="n">
        <v>2500</v>
      </c>
      <c r="I53" s="29" t="n">
        <v>0</v>
      </c>
      <c r="J53" s="29" t="n">
        <v>29250.32679738562</v>
      </c>
      <c r="K53" s="29" t="n">
        <v>0</v>
      </c>
      <c r="L53" s="29" t="n">
        <v>22749.67320261438</v>
      </c>
      <c r="M53" s="29" t="n">
        <v>924483.6601307195</v>
      </c>
      <c r="N53" s="29" t="n">
        <v>900108.6601307195</v>
      </c>
    </row>
    <row r="54">
      <c r="A54" s="28" t="n">
        <v>51</v>
      </c>
      <c r="B54" s="29" t="n">
        <v>200</v>
      </c>
      <c r="C54" s="29" t="n">
        <v>52000</v>
      </c>
      <c r="D54" s="29" t="n">
        <v>9150.32679738562</v>
      </c>
      <c r="E54" s="29" t="n">
        <v>12600</v>
      </c>
      <c r="F54" s="29" t="n">
        <v>0</v>
      </c>
      <c r="G54" s="29" t="n">
        <v>5000</v>
      </c>
      <c r="H54" s="29" t="n">
        <v>2500</v>
      </c>
      <c r="I54" s="29" t="n">
        <v>0</v>
      </c>
      <c r="J54" s="29" t="n">
        <v>29250.32679738562</v>
      </c>
      <c r="K54" s="29" t="n">
        <v>0</v>
      </c>
      <c r="L54" s="29" t="n">
        <v>22749.67320261438</v>
      </c>
      <c r="M54" s="29" t="n">
        <v>947233.333333334</v>
      </c>
      <c r="N54" s="29" t="n">
        <v>922858.333333334</v>
      </c>
    </row>
    <row r="55">
      <c r="A55" s="28" t="n">
        <v>52</v>
      </c>
      <c r="B55" s="29" t="n">
        <v>200</v>
      </c>
      <c r="C55" s="29" t="n">
        <v>52000</v>
      </c>
      <c r="D55" s="29" t="n">
        <v>9150.32679738562</v>
      </c>
      <c r="E55" s="29" t="n">
        <v>12600</v>
      </c>
      <c r="F55" s="29" t="n">
        <v>9000</v>
      </c>
      <c r="G55" s="29" t="n">
        <v>5000</v>
      </c>
      <c r="H55" s="29" t="n">
        <v>2500</v>
      </c>
      <c r="I55" s="29" t="n">
        <v>0</v>
      </c>
      <c r="J55" s="29" t="n">
        <v>38250.32679738562</v>
      </c>
      <c r="K55" s="29" t="n">
        <v>0</v>
      </c>
      <c r="L55" s="29" t="n">
        <v>13749.67320261438</v>
      </c>
      <c r="M55" s="29" t="n">
        <v>960983.0065359484</v>
      </c>
      <c r="N55" s="29" t="n">
        <v>936608.0065359484</v>
      </c>
    </row>
    <row r="57">
      <c r="A57" s="8" t="inlineStr">
        <is>
          <t>Valores calculados (snapshot). Contado se cobra la semana siguiente al despacho; el crédito a 30 días, cuatro semanas después.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</cols>
  <sheetData>
    <row r="1">
      <c r="A1" s="1" t="inlineStr">
        <is>
          <t>Escenarios y sensibilidades (snapshot calculado)</t>
        </is>
      </c>
    </row>
    <row r="3">
      <c r="A3" s="2" t="inlineStr">
        <is>
          <t>Escenario</t>
        </is>
      </c>
      <c r="B3" s="2" t="inlineStr">
        <is>
          <t>Caja mínima con préstamo</t>
        </is>
      </c>
      <c r="C3" s="2" t="inlineStr">
        <is>
          <t>Mes</t>
        </is>
      </c>
      <c r="D3" s="2" t="inlineStr">
        <is>
          <t>Cobertura mín.</t>
        </is>
      </c>
      <c r="E3" s="2" t="inlineStr">
        <is>
          <t>Ventas 24 m</t>
        </is>
      </c>
      <c r="F3" s="2" t="inlineStr">
        <is>
          <t>EBITDA 24 m</t>
        </is>
      </c>
      <c r="G3" s="2" t="inlineStr">
        <is>
          <t>Caja mes 24</t>
        </is>
      </c>
    </row>
    <row r="4">
      <c r="A4" t="inlineStr">
        <is>
          <t>Conservador</t>
        </is>
      </c>
      <c r="B4" s="29" t="n">
        <v>21659.08496732026</v>
      </c>
      <c r="C4" s="28" t="n">
        <v>1</v>
      </c>
      <c r="D4" s="30" t="n">
        <v>-4.334091503267974</v>
      </c>
      <c r="E4" s="29" t="n">
        <v>3144960</v>
      </c>
      <c r="F4" s="29" t="n">
        <v>932298.0392156867</v>
      </c>
      <c r="G4" s="29" t="n">
        <v>833403.0392156867</v>
      </c>
    </row>
    <row r="5">
      <c r="A5" t="inlineStr">
        <is>
          <t>Medio</t>
        </is>
      </c>
      <c r="B5" s="29" t="n">
        <v>128198.6928104575</v>
      </c>
      <c r="C5" s="28" t="n">
        <v>1</v>
      </c>
      <c r="D5" s="30" t="n">
        <v>6.319869281045749</v>
      </c>
      <c r="E5" s="29" t="n">
        <v>4992000</v>
      </c>
      <c r="F5" s="29" t="n">
        <v>1916768.62745098</v>
      </c>
      <c r="G5" s="29" t="n">
        <v>1883393.62745098</v>
      </c>
    </row>
    <row r="6">
      <c r="A6" t="inlineStr">
        <is>
          <t>Optimista</t>
        </is>
      </c>
      <c r="B6" s="29" t="n">
        <v>153388.4967320261</v>
      </c>
      <c r="C6" s="28" t="n">
        <v>1</v>
      </c>
      <c r="D6" s="30" t="n">
        <v>8.838849673202613</v>
      </c>
      <c r="E6" s="29" t="n">
        <v>6027839.999999999</v>
      </c>
      <c r="F6" s="29" t="n">
        <v>2521323.921568628</v>
      </c>
      <c r="G6" s="29" t="n">
        <v>2487948.921568627</v>
      </c>
    </row>
    <row r="9">
      <c r="A9" s="31" t="inlineStr">
        <is>
          <t>Sensibilidad al cobro (fondo de caja semanal sin préstamo · caja mínima mensual con préstamo)</t>
        </is>
      </c>
    </row>
    <row r="10">
      <c r="A10" t="inlineStr">
        <is>
          <t>Todo de contado al despacho</t>
        </is>
      </c>
      <c r="B10" s="29" t="n">
        <v>-46250.32679738562</v>
      </c>
      <c r="C10" s="29" t="n">
        <v>128198.6928104575</v>
      </c>
    </row>
    <row r="11">
      <c r="A11" t="inlineStr">
        <is>
          <t>Mitad de contado, mitad a 30 días</t>
        </is>
      </c>
      <c r="B11" s="29" t="n">
        <v>-68251.63398692809</v>
      </c>
      <c r="C11" s="29" t="n">
        <v>24198.69281045749</v>
      </c>
    </row>
    <row r="12">
      <c r="A12" t="inlineStr">
        <is>
          <t>Todo a 30 días</t>
        </is>
      </c>
      <c r="B12" s="29" t="n">
        <v>-172251.6339869281</v>
      </c>
      <c r="C12" s="29" t="n">
        <v>-79801.30718954251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2026-10-04T04:33:23Z</dcterms:created>
  <dcterms:modified xmlns:dcterms="http://purl.org/dc/terms/" xmlns:xsi="http://www.w3.org/2001/XMLSchema-instance" xsi:type="dcterms:W3CDTF">2026-10-04T04:33:23Z</dcterms:modified>
</cp:coreProperties>
</file>